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65476" windowWidth="19320" windowHeight="12555" activeTab="0"/>
  </bookViews>
  <sheets>
    <sheet name="Info" sheetId="1" r:id="rId1"/>
    <sheet name="Berechnung" sheetId="2" r:id="rId2"/>
    <sheet name="Drucken" sheetId="3" r:id="rId3"/>
  </sheets>
  <definedNames>
    <definedName name="_xlnm.Print_Area" localSheetId="2">'Drucken'!$A$1:$H$55</definedName>
  </definedNames>
  <calcPr fullCalcOnLoad="1"/>
</workbook>
</file>

<file path=xl/sharedStrings.xml><?xml version="1.0" encoding="utf-8"?>
<sst xmlns="http://schemas.openxmlformats.org/spreadsheetml/2006/main" count="141" uniqueCount="115">
  <si>
    <t>ALTER1</t>
  </si>
  <si>
    <t>KRV</t>
  </si>
  <si>
    <t>LZZ</t>
  </si>
  <si>
    <t>RE4</t>
  </si>
  <si>
    <t>STKL</t>
  </si>
  <si>
    <t>ZKF</t>
  </si>
  <si>
    <t>JW</t>
  </si>
  <si>
    <t>ALTE</t>
  </si>
  <si>
    <t>RE4LZZ</t>
  </si>
  <si>
    <t>MRE4</t>
  </si>
  <si>
    <t>ZRE4</t>
  </si>
  <si>
    <t>MZTABFB</t>
  </si>
  <si>
    <t>KZTAB</t>
  </si>
  <si>
    <t>ANP</t>
  </si>
  <si>
    <t>SAP</t>
  </si>
  <si>
    <t>KFB</t>
  </si>
  <si>
    <t>ZTABFB</t>
  </si>
  <si>
    <t>VSPO</t>
  </si>
  <si>
    <t>VSPVOR</t>
  </si>
  <si>
    <t>VSPMAX1</t>
  </si>
  <si>
    <t>VSPMAX2</t>
  </si>
  <si>
    <t>VSPKURZ</t>
  </si>
  <si>
    <t>VSP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</si>
  <si>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</si>
  <si>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</si>
  <si>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</si>
  <si>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</si>
  <si>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</si>
  <si>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</si>
  <si>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</si>
  <si>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</si>
  <si>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</si>
  <si>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</si>
  <si>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</si>
  <si>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MVSP</t>
  </si>
  <si>
    <t>UMVSP</t>
  </si>
  <si>
    <t>JBMG</t>
  </si>
  <si>
    <t>MSOLZ</t>
  </si>
  <si>
    <t>SOLZFREI</t>
  </si>
  <si>
    <t>SOLZJ</t>
  </si>
  <si>
    <t>SOLZMIN</t>
  </si>
  <si>
    <t>BK</t>
  </si>
  <si>
    <t>UPANTEIL</t>
  </si>
  <si>
    <t>VERGL</t>
  </si>
  <si>
    <t>HINZUR</t>
  </si>
  <si>
    <t>RE4LZZV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</si>
  <si>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</si>
  <si>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</si>
  <si>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</si>
  <si>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</si>
  <si>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</si>
  <si>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</si>
  <si>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</si>
  <si>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</si>
  <si>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</si>
  <si>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</si>
  <si>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</si>
  <si>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</si>
  <si>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</si>
  <si>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Rentenversicherung</t>
  </si>
  <si>
    <t>Pflegeversicherung</t>
  </si>
  <si>
    <t>Arbeitslosenversicherung</t>
  </si>
  <si>
    <t>Abzüge</t>
  </si>
  <si>
    <t>Nettolohn</t>
  </si>
  <si>
    <t>TAB4</t>
  </si>
  <si>
    <t>TAB5</t>
  </si>
  <si>
    <t>ALTEANTEIL</t>
  </si>
  <si>
    <t>MRE4LZZ</t>
  </si>
  <si>
    <t>JFREIB</t>
  </si>
  <si>
    <t>SOLZ</t>
  </si>
  <si>
    <t>MLSTJAHR</t>
  </si>
  <si>
    <t>Jahr</t>
  </si>
  <si>
    <t>Monat</t>
  </si>
  <si>
    <t>Woche</t>
  </si>
  <si>
    <t>Tag</t>
  </si>
  <si>
    <t>I</t>
  </si>
  <si>
    <t>II</t>
  </si>
  <si>
    <t>III</t>
  </si>
  <si>
    <t>V</t>
  </si>
  <si>
    <t>IV</t>
  </si>
  <si>
    <t>VI</t>
  </si>
  <si>
    <t>vor 1941</t>
  </si>
  <si>
    <t>ja</t>
  </si>
  <si>
    <t>nein</t>
  </si>
  <si>
    <t>Keine</t>
  </si>
  <si>
    <t>Allgemeine Tabelle</t>
  </si>
  <si>
    <t>Besondere Tabelle</t>
  </si>
  <si>
    <t>Ihr Bruttolohn</t>
  </si>
  <si>
    <t>Freibetrag:</t>
  </si>
  <si>
    <t>Tabelle:</t>
  </si>
  <si>
    <t>Kinder:</t>
  </si>
  <si>
    <t xml:space="preserve">Krankenversicherung </t>
  </si>
  <si>
    <t>Lohn-/ Gehaltsabrechnung</t>
  </si>
  <si>
    <t>Summe Steuern</t>
  </si>
  <si>
    <t>Summe Versicherungen</t>
  </si>
  <si>
    <t>alle Angaben ohne Gewähr</t>
  </si>
  <si>
    <t>VSPGÜNST</t>
  </si>
  <si>
    <t>LST 2007</t>
  </si>
  <si>
    <t>MIT REICHST</t>
  </si>
  <si>
    <t>nach 1942</t>
  </si>
  <si>
    <t>8 %</t>
  </si>
  <si>
    <t>9 %</t>
  </si>
  <si>
    <t>Gehaltsrechner für 2007</t>
  </si>
  <si>
    <t>© Kusche 2007</t>
  </si>
  <si>
    <t>Steuerklasse:</t>
  </si>
  <si>
    <t>KV-Satz in %:</t>
  </si>
  <si>
    <t>Kirchensteuer-Satz in %:</t>
  </si>
  <si>
    <t>Lohnsteuerberechnung 2007</t>
  </si>
  <si>
    <t>http://www.parmentier.de/steuer/steuer01.htm</t>
  </si>
  <si>
    <t>Weitere Lohn- und Einkommensteuerberechnungsprogramme unter:</t>
  </si>
  <si>
    <t>Design:</t>
  </si>
  <si>
    <t>Kusche</t>
  </si>
  <si>
    <t>Stand: Jan. 2007</t>
  </si>
  <si>
    <t>7,50</t>
  </si>
  <si>
    <t>120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</si>
</sst>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[$€-2]\ #,##0.00_);[Red]\([$€-2]\ #,##0.00\)"/>
    <numFmt numFmtId="189" formatCode="#,##0.00\ &quot;€&quot;"/>
    <numFmt numFmtId="190" formatCode="General&quot; %&quot;"/>
    <numFmt numFmtId="191" formatCode="[$-407]dddd\,\ d\.\ mmmm\ yyyy"/>
    <numFmt numFmtId="192" formatCode="0.0&quot; %&quot;"/>
    <numFmt numFmtId="193" formatCode="&quot;Klasse &quot;General"/>
    <numFmt numFmtId="194" formatCode="0.00&quot; Euro&quot;"/>
    <numFmt numFmtId="195" formatCode="0.0\ &quot; %&quot;"/>
    <numFmt numFmtId="196" formatCode="0.0\ &quot;%&quot;"/>
    <numFmt numFmtId="197" formatCode="General\ &quot;%&quot;"/>
    <numFmt numFmtId="198" formatCode="0.00&quot; Euro&quot;\ 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color indexed="2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0"/>
    </font>
    <font>
      <sz val="12"/>
      <name val="Times New Roman"/>
      <family val="1"/>
    </font>
    <font>
      <b/>
      <sz val="16"/>
      <color indexed="8"/>
      <name val="Arial"/>
      <family val="2"/>
    </font>
    <font>
      <b/>
      <sz val="8"/>
      <color indexed="5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172" fontId="8" fillId="0" borderId="0" xfId="0" applyNumberFormat="1" applyFont="1" applyFill="1" applyAlignment="1" applyProtection="1">
      <alignment horizontal="left"/>
      <protection hidden="1"/>
    </xf>
    <xf numFmtId="22" fontId="17" fillId="0" borderId="0" xfId="0" applyNumberFormat="1" applyFont="1" applyAlignment="1">
      <alignment/>
    </xf>
    <xf numFmtId="0" fontId="1" fillId="2" borderId="0" xfId="0" applyFont="1" applyFill="1" applyAlignment="1" applyProtection="1">
      <alignment/>
      <protection hidden="1"/>
    </xf>
    <xf numFmtId="172" fontId="17" fillId="0" borderId="0" xfId="0" applyNumberFormat="1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3" borderId="0" xfId="0" applyFont="1" applyFill="1" applyAlignment="1" applyProtection="1">
      <alignment vertical="center" wrapText="1"/>
      <protection hidden="1"/>
    </xf>
    <xf numFmtId="0" fontId="26" fillId="3" borderId="0" xfId="0" applyFont="1" applyFill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25" fillId="3" borderId="0" xfId="0" applyFont="1" applyFill="1" applyAlignment="1" applyProtection="1">
      <alignment wrapText="1"/>
      <protection hidden="1"/>
    </xf>
    <xf numFmtId="0" fontId="25" fillId="3" borderId="0" xfId="0" applyFont="1" applyFill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44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1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2" fontId="0" fillId="5" borderId="0" xfId="0" applyNumberFormat="1" applyFill="1" applyAlignment="1" applyProtection="1">
      <alignment/>
      <protection hidden="1"/>
    </xf>
    <xf numFmtId="2" fontId="1" fillId="5" borderId="0" xfId="0" applyNumberFormat="1" applyFont="1" applyFill="1" applyAlignment="1" applyProtection="1">
      <alignment/>
      <protection hidden="1"/>
    </xf>
    <xf numFmtId="49" fontId="8" fillId="0" borderId="0" xfId="0" applyNumberFormat="1" applyFont="1" applyFill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44" fontId="9" fillId="0" borderId="0" xfId="0" applyNumberFormat="1" applyFont="1" applyFill="1" applyBorder="1" applyAlignment="1" applyProtection="1">
      <alignment horizontal="center"/>
      <protection hidden="1"/>
    </xf>
    <xf numFmtId="44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8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90" fontId="0" fillId="0" borderId="0" xfId="0" applyNumberForma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189" fontId="3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189" fontId="2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9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92" fontId="16" fillId="4" borderId="0" xfId="0" applyNumberFormat="1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192" fontId="30" fillId="4" borderId="0" xfId="0" applyNumberFormat="1" applyFont="1" applyFill="1" applyBorder="1" applyAlignment="1" applyProtection="1">
      <alignment vertical="center" wrapText="1"/>
      <protection hidden="1"/>
    </xf>
    <xf numFmtId="0" fontId="22" fillId="4" borderId="0" xfId="0" applyFont="1" applyFill="1" applyBorder="1" applyAlignment="1" applyProtection="1">
      <alignment vertical="center" wrapText="1"/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189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/>
      <protection hidden="1"/>
    </xf>
    <xf numFmtId="44" fontId="6" fillId="4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/>
      <protection hidden="1"/>
    </xf>
    <xf numFmtId="44" fontId="14" fillId="4" borderId="0" xfId="0" applyNumberFormat="1" applyFont="1" applyFill="1" applyBorder="1" applyAlignment="1" applyProtection="1">
      <alignment horizontal="center"/>
      <protection hidden="1"/>
    </xf>
    <xf numFmtId="189" fontId="19" fillId="4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/>
      <protection hidden="1"/>
    </xf>
    <xf numFmtId="44" fontId="34" fillId="4" borderId="0" xfId="0" applyNumberFormat="1" applyFont="1" applyFill="1" applyBorder="1" applyAlignment="1" applyProtection="1">
      <alignment horizontal="center"/>
      <protection hidden="1"/>
    </xf>
    <xf numFmtId="0" fontId="8" fillId="4" borderId="0" xfId="0" applyFont="1" applyFill="1" applyBorder="1" applyAlignment="1" applyProtection="1">
      <alignment/>
      <protection hidden="1"/>
    </xf>
    <xf numFmtId="189" fontId="17" fillId="4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0" fontId="36" fillId="0" borderId="0" xfId="18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192" fontId="20" fillId="0" borderId="0" xfId="0" applyNumberFormat="1" applyFont="1" applyAlignment="1" applyProtection="1">
      <alignment horizontal="right"/>
      <protection hidden="1"/>
    </xf>
    <xf numFmtId="0" fontId="19" fillId="0" borderId="1" xfId="0" applyFont="1" applyBorder="1" applyAlignment="1" applyProtection="1">
      <alignment/>
      <protection hidden="1"/>
    </xf>
    <xf numFmtId="0" fontId="20" fillId="0" borderId="1" xfId="0" applyFont="1" applyBorder="1" applyAlignment="1" applyProtection="1">
      <alignment/>
      <protection hidden="1"/>
    </xf>
    <xf numFmtId="194" fontId="19" fillId="0" borderId="0" xfId="0" applyNumberFormat="1" applyFont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194" fontId="27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194" fontId="20" fillId="0" borderId="0" xfId="0" applyNumberFormat="1" applyFont="1" applyBorder="1" applyAlignment="1" applyProtection="1">
      <alignment horizontal="right"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195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49" fontId="32" fillId="0" borderId="0" xfId="0" applyNumberFormat="1" applyFont="1" applyAlignment="1" applyProtection="1">
      <alignment horizontal="right"/>
      <protection hidden="1"/>
    </xf>
    <xf numFmtId="0" fontId="20" fillId="0" borderId="0" xfId="0" applyNumberFormat="1" applyFont="1" applyAlignment="1" applyProtection="1">
      <alignment horizontal="right"/>
      <protection hidden="1"/>
    </xf>
    <xf numFmtId="194" fontId="20" fillId="0" borderId="0" xfId="0" applyNumberFormat="1" applyFont="1" applyAlignment="1" applyProtection="1">
      <alignment horizontal="right"/>
      <protection hidden="1"/>
    </xf>
    <xf numFmtId="0" fontId="25" fillId="3" borderId="0" xfId="0" applyFont="1" applyFill="1" applyAlignment="1" applyProtection="1">
      <alignment horizontal="right" vertical="top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25" fillId="3" borderId="0" xfId="0" applyFont="1" applyFill="1" applyAlignment="1" applyProtection="1">
      <alignment wrapText="1"/>
      <protection hidden="1"/>
    </xf>
    <xf numFmtId="0" fontId="25" fillId="3" borderId="0" xfId="0" applyFont="1" applyFill="1" applyAlignment="1" applyProtection="1">
      <alignment horizontal="right" wrapText="1"/>
      <protection hidden="1"/>
    </xf>
    <xf numFmtId="0" fontId="33" fillId="4" borderId="0" xfId="0" applyFont="1" applyFill="1" applyBorder="1" applyAlignment="1" applyProtection="1">
      <alignment horizontal="center" vertical="center" wrapText="1"/>
      <protection hidden="1"/>
    </xf>
    <xf numFmtId="194" fontId="20" fillId="0" borderId="0" xfId="0" applyNumberFormat="1" applyFont="1" applyAlignment="1" applyProtection="1">
      <alignment horizontal="right"/>
      <protection hidden="1"/>
    </xf>
    <xf numFmtId="194" fontId="20" fillId="0" borderId="1" xfId="0" applyNumberFormat="1" applyFont="1" applyBorder="1" applyAlignment="1" applyProtection="1">
      <alignment horizontal="right"/>
      <protection hidden="1"/>
    </xf>
    <xf numFmtId="22" fontId="17" fillId="0" borderId="0" xfId="0" applyNumberFormat="1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94" fontId="27" fillId="0" borderId="1" xfId="0" applyNumberFormat="1" applyFont="1" applyBorder="1" applyAlignment="1" applyProtection="1">
      <alignment horizontal="right"/>
      <protection hidden="1"/>
    </xf>
    <xf numFmtId="194" fontId="19" fillId="0" borderId="0" xfId="0" applyNumberFormat="1" applyFont="1" applyAlignment="1" applyProtection="1">
      <alignment horizontal="right"/>
      <protection hidden="1"/>
    </xf>
    <xf numFmtId="194" fontId="19" fillId="0" borderId="1" xfId="0" applyNumberFormat="1" applyFont="1" applyBorder="1" applyAlignment="1" applyProtection="1">
      <alignment horizontal="right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border/>
    </dxf>
    <dxf>
      <fill>
        <patternFill>
          <bgColor rgb="FFFF00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609600</xdr:colOff>
      <xdr:row>16</xdr:row>
      <xdr:rowOff>0</xdr:rowOff>
    </xdr:from>
    <xdr:ext cx="66675" cy="190500"/>
    <xdr:sp>
      <xdr:nvSpPr>
        <xdr:cNvPr id="1" name="TextBox 40"/>
        <xdr:cNvSpPr txBox="1">
          <a:spLocks noChangeArrowheads="1"/>
        </xdr:cNvSpPr>
      </xdr:nvSpPr>
      <xdr:spPr>
        <a:xfrm>
          <a:off x="11115675" y="2590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390525</xdr:colOff>
      <xdr:row>14</xdr:row>
      <xdr:rowOff>47625</xdr:rowOff>
    </xdr:from>
    <xdr:to>
      <xdr:col>6</xdr:col>
      <xdr:colOff>514350</xdr:colOff>
      <xdr:row>16</xdr:row>
      <xdr:rowOff>19050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314575"/>
          <a:ext cx="1647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8</xdr:col>
      <xdr:colOff>0</xdr:colOff>
      <xdr:row>24</xdr:row>
      <xdr:rowOff>0</xdr:rowOff>
    </xdr:to>
    <xdr:sp>
      <xdr:nvSpPr>
        <xdr:cNvPr id="3" name="Rectangle 45"/>
        <xdr:cNvSpPr>
          <a:spLocks/>
        </xdr:cNvSpPr>
      </xdr:nvSpPr>
      <xdr:spPr>
        <a:xfrm>
          <a:off x="2286000" y="1133475"/>
          <a:ext cx="3810000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6</xdr:row>
      <xdr:rowOff>57150</xdr:rowOff>
    </xdr:from>
    <xdr:to>
      <xdr:col>21</xdr:col>
      <xdr:colOff>142875</xdr:colOff>
      <xdr:row>15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449175" y="1028700"/>
          <a:ext cx="44958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!! Wichtig !!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Bitte keine Veränderung vornehmen, da sonst keine genaue Berechung erfolgen kann.</a:t>
          </a:r>
        </a:p>
      </xdr:txBody>
    </xdr:sp>
    <xdr:clientData/>
  </xdr:twoCellAnchor>
  <xdr:twoCellAnchor>
    <xdr:from>
      <xdr:col>15</xdr:col>
      <xdr:colOff>619125</xdr:colOff>
      <xdr:row>8</xdr:row>
      <xdr:rowOff>152400</xdr:rowOff>
    </xdr:from>
    <xdr:to>
      <xdr:col>21</xdr:col>
      <xdr:colOff>47625</xdr:colOff>
      <xdr:row>8</xdr:row>
      <xdr:rowOff>152400</xdr:rowOff>
    </xdr:to>
    <xdr:sp>
      <xdr:nvSpPr>
        <xdr:cNvPr id="2" name="Line 3"/>
        <xdr:cNvSpPr>
          <a:spLocks/>
        </xdr:cNvSpPr>
      </xdr:nvSpPr>
      <xdr:spPr>
        <a:xfrm>
          <a:off x="12620625" y="1447800"/>
          <a:ext cx="4229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steuer01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17"/>
  </sheetPr>
  <dimension ref="A1:O40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2" width="11.421875" style="16" customWidth="1"/>
    <col min="13" max="13" width="11.57421875" style="16" customWidth="1"/>
    <col min="14" max="14" width="8.8515625" style="16" customWidth="1"/>
    <col min="15" max="16384" width="11.421875" style="16" customWidth="1"/>
  </cols>
  <sheetData>
    <row r="1" ht="12.75" customHeight="1">
      <c r="A1" s="15"/>
    </row>
    <row r="2" ht="12.75" customHeight="1"/>
    <row r="3" spans="2:7" ht="12.75" customHeight="1">
      <c r="B3" s="38"/>
      <c r="C3" s="38"/>
      <c r="D3" s="38"/>
      <c r="E3" s="38"/>
      <c r="F3" s="38"/>
      <c r="G3" s="38"/>
    </row>
    <row r="4" spans="2:11" ht="12.75" customHeight="1">
      <c r="B4" s="38"/>
      <c r="C4" s="45"/>
      <c r="D4" s="45"/>
      <c r="E4" s="45"/>
      <c r="F4" s="22"/>
      <c r="G4" s="22"/>
      <c r="H4" s="22"/>
      <c r="I4" s="22"/>
      <c r="J4" s="22"/>
      <c r="K4" s="22"/>
    </row>
    <row r="5" spans="2:15" ht="12.75" customHeight="1">
      <c r="B5" s="38"/>
      <c r="C5" s="46"/>
      <c r="D5" s="46"/>
      <c r="E5" s="46"/>
      <c r="F5" s="46"/>
      <c r="G5" s="22"/>
      <c r="H5" s="47"/>
      <c r="I5" s="47"/>
      <c r="J5" s="47"/>
      <c r="K5" s="47"/>
      <c r="M5" s="17"/>
      <c r="N5" s="18"/>
      <c r="O5" s="18"/>
    </row>
    <row r="6" spans="2:15" ht="12.75" customHeight="1">
      <c r="B6" s="38"/>
      <c r="C6" s="48"/>
      <c r="D6" s="48"/>
      <c r="E6" s="48"/>
      <c r="F6" s="48"/>
      <c r="G6" s="22"/>
      <c r="H6" s="22"/>
      <c r="I6" s="22"/>
      <c r="J6" s="22"/>
      <c r="K6" s="22"/>
      <c r="M6" s="17"/>
      <c r="N6" s="19"/>
      <c r="O6" s="19"/>
    </row>
    <row r="7" spans="2:15" ht="12.75" customHeight="1">
      <c r="B7" s="38"/>
      <c r="C7" s="32"/>
      <c r="D7" s="33"/>
      <c r="E7" s="49"/>
      <c r="F7" s="49"/>
      <c r="G7" s="22"/>
      <c r="H7" s="22"/>
      <c r="I7" s="40"/>
      <c r="J7" s="40"/>
      <c r="K7" s="22"/>
      <c r="M7" s="17"/>
      <c r="N7" s="121"/>
      <c r="O7" s="121"/>
    </row>
    <row r="8" spans="2:15" ht="12.75" customHeight="1">
      <c r="B8" s="38"/>
      <c r="C8" s="34"/>
      <c r="D8" s="123" t="s">
        <v>107</v>
      </c>
      <c r="E8" s="123"/>
      <c r="F8" s="123"/>
      <c r="G8" s="123"/>
      <c r="H8" s="123"/>
      <c r="I8" s="41"/>
      <c r="J8" s="42"/>
      <c r="K8" s="22"/>
      <c r="M8" s="17"/>
      <c r="N8" s="121"/>
      <c r="O8" s="121"/>
    </row>
    <row r="9" spans="2:15" ht="12.75" customHeight="1">
      <c r="B9" s="38"/>
      <c r="C9" s="32"/>
      <c r="D9" s="123"/>
      <c r="E9" s="123"/>
      <c r="F9" s="123"/>
      <c r="G9" s="123"/>
      <c r="H9" s="123"/>
      <c r="I9" s="51"/>
      <c r="J9" s="51"/>
      <c r="K9" s="22"/>
      <c r="M9" s="17"/>
      <c r="N9" s="21"/>
      <c r="O9" s="21"/>
    </row>
    <row r="10" spans="2:15" ht="12.75" customHeight="1">
      <c r="B10" s="38"/>
      <c r="C10" s="32"/>
      <c r="D10" s="123"/>
      <c r="E10" s="123"/>
      <c r="F10" s="123"/>
      <c r="G10" s="123"/>
      <c r="H10" s="123"/>
      <c r="I10" s="22"/>
      <c r="J10" s="22"/>
      <c r="K10" s="22"/>
      <c r="M10" s="17"/>
      <c r="N10" s="21"/>
      <c r="O10" s="21"/>
    </row>
    <row r="11" spans="2:15" ht="12.75" customHeight="1">
      <c r="B11" s="38"/>
      <c r="C11" s="32"/>
      <c r="D11" s="62"/>
      <c r="E11" s="63"/>
      <c r="F11" s="63"/>
      <c r="G11" s="24"/>
      <c r="H11" s="24"/>
      <c r="I11" s="22"/>
      <c r="J11" s="22"/>
      <c r="K11" s="22"/>
      <c r="L11" s="22"/>
      <c r="M11" s="17"/>
      <c r="N11" s="21"/>
      <c r="O11" s="21"/>
    </row>
    <row r="12" spans="2:15" ht="12.75" customHeight="1">
      <c r="B12" s="38"/>
      <c r="C12" s="32"/>
      <c r="D12" s="64"/>
      <c r="E12" s="65"/>
      <c r="F12" s="65"/>
      <c r="G12" s="24"/>
      <c r="H12" s="66"/>
      <c r="I12" s="52"/>
      <c r="J12" s="53"/>
      <c r="K12" s="53"/>
      <c r="L12" s="23"/>
      <c r="M12" s="17"/>
      <c r="N12" s="21"/>
      <c r="O12" s="21"/>
    </row>
    <row r="13" spans="2:15" ht="12.75" customHeight="1">
      <c r="B13" s="38"/>
      <c r="C13" s="32"/>
      <c r="D13" s="24"/>
      <c r="E13" s="24"/>
      <c r="F13" s="24"/>
      <c r="G13" s="24"/>
      <c r="H13" s="24"/>
      <c r="I13" s="22"/>
      <c r="J13" s="22"/>
      <c r="K13" s="22"/>
      <c r="L13" s="22"/>
      <c r="M13" s="120"/>
      <c r="N13" s="122"/>
      <c r="O13" s="121"/>
    </row>
    <row r="14" spans="2:15" ht="12.75" customHeight="1">
      <c r="B14" s="38"/>
      <c r="C14" s="50"/>
      <c r="D14" s="61"/>
      <c r="E14" s="67"/>
      <c r="F14" s="67"/>
      <c r="G14" s="24"/>
      <c r="H14" s="66"/>
      <c r="I14" s="52"/>
      <c r="J14" s="53"/>
      <c r="K14" s="53"/>
      <c r="L14" s="25"/>
      <c r="M14" s="120"/>
      <c r="N14" s="122"/>
      <c r="O14" s="121"/>
    </row>
    <row r="15" spans="2:15" ht="12.75" customHeight="1">
      <c r="B15" s="38"/>
      <c r="C15" s="32"/>
      <c r="D15" s="68"/>
      <c r="E15" s="24"/>
      <c r="F15" s="24"/>
      <c r="G15" s="24"/>
      <c r="H15" s="24"/>
      <c r="I15" s="43"/>
      <c r="J15" s="44"/>
      <c r="K15" s="22"/>
      <c r="L15" s="22"/>
      <c r="M15" s="17"/>
      <c r="N15" s="21"/>
      <c r="O15" s="20"/>
    </row>
    <row r="16" spans="2:15" ht="12.75" customHeight="1">
      <c r="B16" s="38"/>
      <c r="C16" s="32"/>
      <c r="D16" s="68"/>
      <c r="E16" s="24"/>
      <c r="F16" s="24"/>
      <c r="G16" s="24"/>
      <c r="H16" s="66"/>
      <c r="I16" s="52"/>
      <c r="J16" s="54"/>
      <c r="K16" s="54"/>
      <c r="L16" s="22"/>
      <c r="M16" s="17"/>
      <c r="N16" s="21"/>
      <c r="O16" s="21"/>
    </row>
    <row r="17" spans="2:15" ht="12.75" customHeight="1">
      <c r="B17" s="38"/>
      <c r="C17" s="22"/>
      <c r="D17" s="24"/>
      <c r="E17" s="24"/>
      <c r="F17" s="24"/>
      <c r="G17" s="24"/>
      <c r="H17" s="24"/>
      <c r="I17" s="22"/>
      <c r="J17" s="22"/>
      <c r="K17" s="22"/>
      <c r="L17" s="22"/>
      <c r="M17" s="17"/>
      <c r="N17" s="119"/>
      <c r="O17" s="119"/>
    </row>
    <row r="18" spans="2:15" ht="12.75" customHeight="1">
      <c r="B18" s="38"/>
      <c r="C18" s="55"/>
      <c r="D18" s="69"/>
      <c r="E18" s="70"/>
      <c r="F18" s="24"/>
      <c r="G18" s="24"/>
      <c r="H18" s="66"/>
      <c r="I18" s="52"/>
      <c r="J18" s="54"/>
      <c r="K18" s="54"/>
      <c r="L18" s="25"/>
      <c r="M18" s="17"/>
      <c r="N18" s="119"/>
      <c r="O18" s="119"/>
    </row>
    <row r="19" spans="2:15" ht="12.75" customHeight="1">
      <c r="B19" s="38"/>
      <c r="C19" s="55"/>
      <c r="D19" s="69"/>
      <c r="E19" s="70"/>
      <c r="F19" s="24"/>
      <c r="G19" s="24"/>
      <c r="H19" s="66"/>
      <c r="I19" s="52"/>
      <c r="J19" s="54"/>
      <c r="K19" s="54"/>
      <c r="L19" s="22"/>
      <c r="M19" s="120"/>
      <c r="N19" s="122"/>
      <c r="O19" s="121"/>
    </row>
    <row r="20" spans="2:15" ht="12.75" customHeight="1">
      <c r="B20" s="38"/>
      <c r="C20" s="55"/>
      <c r="D20" s="69"/>
      <c r="E20" s="70"/>
      <c r="F20" s="24"/>
      <c r="G20" s="24"/>
      <c r="H20" s="24"/>
      <c r="I20" s="22"/>
      <c r="J20" s="22"/>
      <c r="K20" s="22"/>
      <c r="L20" s="22"/>
      <c r="M20" s="120"/>
      <c r="N20" s="122"/>
      <c r="O20" s="121"/>
    </row>
    <row r="21" spans="2:15" ht="12.75" customHeight="1">
      <c r="B21" s="38"/>
      <c r="C21" s="56"/>
      <c r="D21" s="71"/>
      <c r="E21" s="72"/>
      <c r="F21" s="24"/>
      <c r="G21" s="24"/>
      <c r="H21" s="24"/>
      <c r="I21" s="22"/>
      <c r="J21" s="22"/>
      <c r="K21" s="22"/>
      <c r="L21" s="22"/>
      <c r="M21" s="17"/>
      <c r="N21" s="122"/>
      <c r="O21" s="121"/>
    </row>
    <row r="22" spans="2:15" ht="12.75" customHeight="1">
      <c r="B22" s="38"/>
      <c r="C22" s="56"/>
      <c r="D22" s="75"/>
      <c r="E22" s="76"/>
      <c r="F22" s="77"/>
      <c r="G22" s="77"/>
      <c r="H22" s="78"/>
      <c r="I22" s="57"/>
      <c r="J22" s="57"/>
      <c r="K22" s="57"/>
      <c r="L22" s="22"/>
      <c r="M22" s="17"/>
      <c r="N22" s="122"/>
      <c r="O22" s="121"/>
    </row>
    <row r="23" spans="2:15" ht="12.75" customHeight="1">
      <c r="B23" s="38"/>
      <c r="C23" s="56"/>
      <c r="D23" s="71"/>
      <c r="E23" s="72"/>
      <c r="F23" s="24"/>
      <c r="G23" s="24"/>
      <c r="H23" s="73"/>
      <c r="I23" s="57"/>
      <c r="J23" s="57"/>
      <c r="K23" s="57"/>
      <c r="L23" s="22"/>
      <c r="M23" s="17"/>
      <c r="N23" s="21"/>
      <c r="O23" s="21"/>
    </row>
    <row r="24" spans="2:15" ht="12.75" customHeight="1">
      <c r="B24" s="38"/>
      <c r="C24" s="56"/>
      <c r="D24" s="71"/>
      <c r="E24" s="72"/>
      <c r="F24" s="24"/>
      <c r="G24" s="24"/>
      <c r="H24" s="24"/>
      <c r="I24" s="22"/>
      <c r="J24" s="22"/>
      <c r="K24" s="22"/>
      <c r="L24" s="22"/>
      <c r="M24" s="17"/>
      <c r="N24" s="21"/>
      <c r="O24" s="21"/>
    </row>
    <row r="25" spans="2:15" ht="12.75" customHeight="1">
      <c r="B25" s="38"/>
      <c r="C25" s="22"/>
      <c r="D25" s="22"/>
      <c r="E25" s="35"/>
      <c r="F25" s="22"/>
      <c r="G25" s="22"/>
      <c r="H25" s="74" t="s">
        <v>112</v>
      </c>
      <c r="I25" s="22"/>
      <c r="J25" s="22"/>
      <c r="K25" s="22"/>
      <c r="M25" s="17"/>
      <c r="N25" s="21"/>
      <c r="O25" s="21"/>
    </row>
    <row r="26" spans="2:15" ht="12.75" customHeight="1">
      <c r="B26" s="38"/>
      <c r="C26" s="58"/>
      <c r="D26" s="58"/>
      <c r="E26" s="36"/>
      <c r="F26" s="79" t="s">
        <v>109</v>
      </c>
      <c r="G26" s="80" t="s">
        <v>108</v>
      </c>
      <c r="H26" s="22"/>
      <c r="I26" s="22"/>
      <c r="J26" s="22"/>
      <c r="K26" s="22"/>
      <c r="M26" s="17"/>
      <c r="N26" s="21"/>
      <c r="O26" s="21"/>
    </row>
    <row r="27" spans="2:15" ht="12.75" customHeight="1">
      <c r="B27" s="38"/>
      <c r="E27" s="37"/>
      <c r="F27" s="79" t="s">
        <v>110</v>
      </c>
      <c r="G27" s="81" t="s">
        <v>111</v>
      </c>
      <c r="H27" s="59"/>
      <c r="I27" s="59"/>
      <c r="J27" s="59"/>
      <c r="K27" s="59"/>
      <c r="M27" s="120"/>
      <c r="N27" s="122"/>
      <c r="O27" s="122"/>
    </row>
    <row r="28" spans="2:15" ht="12.75" customHeight="1">
      <c r="B28" s="38"/>
      <c r="C28" s="38"/>
      <c r="D28" s="38"/>
      <c r="E28" s="38"/>
      <c r="F28" s="39"/>
      <c r="G28" s="38"/>
      <c r="M28" s="120"/>
      <c r="N28" s="122"/>
      <c r="O28" s="122"/>
    </row>
    <row r="29" spans="3:15" ht="12.75" customHeight="1">
      <c r="C29" s="60"/>
      <c r="D29" s="60"/>
      <c r="E29" s="60"/>
      <c r="F29" s="60"/>
      <c r="G29" s="60"/>
      <c r="H29" s="60"/>
      <c r="I29" s="60"/>
      <c r="J29" s="60"/>
      <c r="K29" s="60"/>
      <c r="M29" s="17"/>
      <c r="N29" s="21"/>
      <c r="O29" s="21"/>
    </row>
    <row r="30" spans="3:15" ht="12.75" customHeight="1">
      <c r="C30" s="60"/>
      <c r="D30" s="60"/>
      <c r="E30" s="60"/>
      <c r="F30" s="60"/>
      <c r="G30" s="60"/>
      <c r="H30" s="60"/>
      <c r="I30" s="60"/>
      <c r="J30" s="60"/>
      <c r="K30" s="60"/>
      <c r="M30" s="17"/>
      <c r="N30" s="21"/>
      <c r="O30" s="21"/>
    </row>
    <row r="31" spans="3:15" ht="12.75" customHeight="1">
      <c r="C31" s="60"/>
      <c r="D31" s="60"/>
      <c r="E31" s="60"/>
      <c r="F31" s="60"/>
      <c r="G31" s="60"/>
      <c r="H31" s="60"/>
      <c r="I31" s="60"/>
      <c r="J31" s="60"/>
      <c r="K31" s="60"/>
      <c r="M31" s="17"/>
      <c r="N31" s="21"/>
      <c r="O31" s="21"/>
    </row>
    <row r="32" spans="13:15" ht="12.75" customHeight="1">
      <c r="M32" s="17"/>
      <c r="N32" s="21"/>
      <c r="O32" s="21"/>
    </row>
    <row r="33" spans="13:15" ht="12.75" customHeight="1">
      <c r="M33" s="17"/>
      <c r="N33" s="21"/>
      <c r="O33" s="21"/>
    </row>
    <row r="34" spans="13:15" ht="12.75" customHeight="1">
      <c r="M34" s="120"/>
      <c r="N34" s="122"/>
      <c r="O34" s="122"/>
    </row>
    <row r="35" spans="13:15" ht="12.75" customHeight="1">
      <c r="M35" s="120"/>
      <c r="N35" s="122"/>
      <c r="O35" s="122"/>
    </row>
    <row r="36" spans="13:15" ht="12.75" customHeight="1">
      <c r="M36" s="17"/>
      <c r="N36" s="21"/>
      <c r="O36" s="21"/>
    </row>
    <row r="37" spans="13:15" ht="12.75" customHeight="1">
      <c r="M37" s="17"/>
      <c r="N37" s="21"/>
      <c r="O37" s="21"/>
    </row>
    <row r="38" spans="13:15" ht="12.75" customHeight="1">
      <c r="M38" s="17"/>
      <c r="N38" s="21"/>
      <c r="O38" s="21"/>
    </row>
    <row r="39" spans="13:15" ht="12.75" customHeight="1">
      <c r="M39" s="17"/>
      <c r="N39" s="21"/>
      <c r="O39" s="21"/>
    </row>
    <row r="40" ht="12.75" customHeight="1">
      <c r="M40" s="26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 password="8E28" sheet="1" objects="1" scenarios="1"/>
  <protectedRanges>
    <protectedRange sqref="D12" name="Bereich4"/>
    <protectedRange sqref="E18:E27" name="Bereich2"/>
    <protectedRange sqref="E7:F8 E10:F10 E11:F11 D15 D16 J18:K19 J16:K16 J14:K14 J12:K12 I8 J8 I9:J9" name="Bereich1"/>
    <protectedRange sqref="E12:F12" name="Bereich3"/>
  </protectedRanges>
  <mergeCells count="19">
    <mergeCell ref="D8:H10"/>
    <mergeCell ref="M34:M35"/>
    <mergeCell ref="N34:N35"/>
    <mergeCell ref="O34:O35"/>
    <mergeCell ref="N21:N22"/>
    <mergeCell ref="O21:O22"/>
    <mergeCell ref="M27:M28"/>
    <mergeCell ref="N27:N28"/>
    <mergeCell ref="O27:O28"/>
    <mergeCell ref="N17:N18"/>
    <mergeCell ref="O17:O18"/>
    <mergeCell ref="M19:M20"/>
    <mergeCell ref="N7:N8"/>
    <mergeCell ref="O7:O8"/>
    <mergeCell ref="M13:M14"/>
    <mergeCell ref="N13:N14"/>
    <mergeCell ref="O13:O14"/>
    <mergeCell ref="N19:N20"/>
    <mergeCell ref="O19:O20"/>
  </mergeCells>
  <conditionalFormatting sqref="D15:D16">
    <cfRule type="cellIs" priority="1" dxfId="0" operator="equal" stopIfTrue="1">
      <formula>""""";ghjk"</formula>
    </cfRule>
  </conditionalFormatting>
  <conditionalFormatting sqref="E7:F7">
    <cfRule type="cellIs" priority="2" dxfId="1" operator="equal" stopIfTrue="1">
      <formula>1</formula>
    </cfRule>
    <cfRule type="cellIs" priority="3" dxfId="2" operator="equal" stopIfTrue="1">
      <formula>2</formula>
    </cfRule>
  </conditionalFormatting>
  <hyperlinks>
    <hyperlink ref="G26" r:id="rId1" display="http://www.parmentier.de/steuer/steuer01.htm"/>
  </hyperlinks>
  <printOptions/>
  <pageMargins left="0.3937007874015748" right="0.3937007874015748" top="0.3937007874015748" bottom="0.3937007874015748" header="0.5118110236220472" footer="0.3937007874015748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O101"/>
  <sheetViews>
    <sheetView workbookViewId="0" topLeftCell="A1">
      <selection activeCell="E29" sqref="E29"/>
    </sheetView>
  </sheetViews>
  <sheetFormatPr defaultColWidth="11.421875" defaultRowHeight="12.75"/>
  <cols>
    <col min="1" max="16384" width="12.00390625" style="1" customWidth="1"/>
  </cols>
  <sheetData>
    <row r="1" spans="3:15" ht="12.75">
      <c r="C1" s="8"/>
      <c r="D1" s="14"/>
      <c r="E1" s="14"/>
      <c r="F1" s="22"/>
      <c r="G1" s="98"/>
      <c r="H1" s="99"/>
      <c r="I1" s="38">
        <v>1</v>
      </c>
      <c r="J1" s="38" t="s">
        <v>71</v>
      </c>
      <c r="K1" s="38" t="s">
        <v>75</v>
      </c>
      <c r="L1" s="98" t="s">
        <v>81</v>
      </c>
      <c r="M1" s="38" t="s">
        <v>84</v>
      </c>
      <c r="N1" s="16" t="s">
        <v>82</v>
      </c>
      <c r="O1" s="16" t="s">
        <v>84</v>
      </c>
    </row>
    <row r="2" spans="1:15" ht="12.75">
      <c r="A2" s="13" t="s">
        <v>97</v>
      </c>
      <c r="B2" s="13"/>
      <c r="C2" s="8">
        <v>1</v>
      </c>
      <c r="D2" s="100"/>
      <c r="E2" s="11"/>
      <c r="F2" s="101" t="s">
        <v>113</v>
      </c>
      <c r="G2" s="102">
        <v>0</v>
      </c>
      <c r="H2" s="103"/>
      <c r="I2" s="38">
        <v>2</v>
      </c>
      <c r="J2" s="38" t="s">
        <v>72</v>
      </c>
      <c r="K2" s="38" t="s">
        <v>76</v>
      </c>
      <c r="L2" s="98">
        <v>1941</v>
      </c>
      <c r="M2" s="38">
        <v>0.5</v>
      </c>
      <c r="N2" s="16" t="s">
        <v>83</v>
      </c>
      <c r="O2" s="104" t="s">
        <v>100</v>
      </c>
    </row>
    <row r="3" spans="1:15" ht="12.75">
      <c r="A3" s="1" t="s">
        <v>0</v>
      </c>
      <c r="B3" s="1">
        <f>G12</f>
        <v>0</v>
      </c>
      <c r="C3" s="8">
        <v>2</v>
      </c>
      <c r="D3" s="100"/>
      <c r="E3" s="11" t="s">
        <v>72</v>
      </c>
      <c r="F3" s="38" t="s">
        <v>114</v>
      </c>
      <c r="G3" s="105">
        <f>IF(E3="","",IF(E3="Monat",2,IF(E3="Jahr",1,IF(E3="woche",3,IF(E3="tag",4)))))</f>
        <v>2</v>
      </c>
      <c r="H3" s="99">
        <v>2</v>
      </c>
      <c r="I3" s="38">
        <v>3</v>
      </c>
      <c r="J3" s="38" t="s">
        <v>73</v>
      </c>
      <c r="K3" s="22" t="s">
        <v>77</v>
      </c>
      <c r="L3" s="98">
        <v>1942</v>
      </c>
      <c r="M3" s="38">
        <v>1</v>
      </c>
      <c r="N3" s="16"/>
      <c r="O3" s="104" t="s">
        <v>101</v>
      </c>
    </row>
    <row r="4" spans="1:15" ht="12.75">
      <c r="A4" s="1" t="s">
        <v>5</v>
      </c>
      <c r="B4" s="1">
        <f>G6</f>
        <v>0</v>
      </c>
      <c r="C4" s="8">
        <v>3</v>
      </c>
      <c r="D4" s="100"/>
      <c r="E4" s="11" t="s">
        <v>75</v>
      </c>
      <c r="F4" s="38">
        <f>F2*F3</f>
        <v>900</v>
      </c>
      <c r="G4" s="105">
        <f>IF(E4="","",IF(E4="I",1,IF(E4="II",2,IF(E4="III",3,IF(E4="IV",4,IF(E4="V",5,IF(E4="VI",6)))))))</f>
        <v>1</v>
      </c>
      <c r="H4" s="99">
        <v>1</v>
      </c>
      <c r="I4" s="38">
        <v>4</v>
      </c>
      <c r="J4" s="38" t="s">
        <v>74</v>
      </c>
      <c r="K4" s="22" t="s">
        <v>79</v>
      </c>
      <c r="L4" s="38" t="s">
        <v>99</v>
      </c>
      <c r="M4" s="38">
        <v>1.5</v>
      </c>
      <c r="N4" s="16"/>
      <c r="O4" s="104"/>
    </row>
    <row r="5" spans="1:15" ht="12.75">
      <c r="A5" s="1" t="s">
        <v>2</v>
      </c>
      <c r="B5" s="1">
        <f>G3</f>
        <v>2</v>
      </c>
      <c r="C5" s="8">
        <v>4</v>
      </c>
      <c r="D5" s="100"/>
      <c r="E5" s="11" t="s">
        <v>85</v>
      </c>
      <c r="F5" s="38"/>
      <c r="G5" s="105">
        <f>IF(E5="","",IF(E5="Allgemeine Tabelle",0,1))</f>
        <v>0</v>
      </c>
      <c r="H5" s="99">
        <v>1</v>
      </c>
      <c r="I5" s="38">
        <v>5</v>
      </c>
      <c r="J5" s="38"/>
      <c r="K5" s="22" t="s">
        <v>78</v>
      </c>
      <c r="L5" s="38">
        <v>4</v>
      </c>
      <c r="M5" s="38">
        <v>2</v>
      </c>
      <c r="N5" s="16"/>
      <c r="O5" s="16"/>
    </row>
    <row r="6" spans="1:15" ht="12.75">
      <c r="A6" s="1" t="s">
        <v>1</v>
      </c>
      <c r="B6" s="1">
        <f>G5</f>
        <v>0</v>
      </c>
      <c r="C6" s="8">
        <v>5</v>
      </c>
      <c r="D6" s="100"/>
      <c r="E6" s="11" t="s">
        <v>84</v>
      </c>
      <c r="F6" s="38"/>
      <c r="G6" s="106">
        <f>IF(E6="Keine",0,E6)</f>
        <v>0</v>
      </c>
      <c r="H6" s="99">
        <v>1</v>
      </c>
      <c r="I6" s="38">
        <v>6</v>
      </c>
      <c r="J6" s="38"/>
      <c r="K6" s="22" t="s">
        <v>80</v>
      </c>
      <c r="L6" s="38"/>
      <c r="M6" s="38">
        <v>2.5</v>
      </c>
      <c r="N6" s="16"/>
      <c r="O6" s="16"/>
    </row>
    <row r="7" spans="1:15" ht="12.75">
      <c r="A7" s="1" t="s">
        <v>3</v>
      </c>
      <c r="B7" s="107">
        <f>G2*100</f>
        <v>0</v>
      </c>
      <c r="C7" s="8">
        <v>6</v>
      </c>
      <c r="D7" s="100"/>
      <c r="E7" s="31" t="s">
        <v>84</v>
      </c>
      <c r="F7" s="38"/>
      <c r="G7" s="105">
        <f>IF(E7="keine",0,IF(E7=O2,8,IF(E7=O3,9)))</f>
        <v>0</v>
      </c>
      <c r="H7" s="99">
        <v>1</v>
      </c>
      <c r="I7" s="38">
        <v>7</v>
      </c>
      <c r="J7" s="38"/>
      <c r="K7" s="38"/>
      <c r="L7" s="38"/>
      <c r="M7" s="38">
        <v>3</v>
      </c>
      <c r="N7" s="16"/>
      <c r="O7" s="16"/>
    </row>
    <row r="8" spans="1:15" ht="12.75">
      <c r="A8" s="1" t="s">
        <v>4</v>
      </c>
      <c r="B8" s="108">
        <f>G4</f>
        <v>1</v>
      </c>
      <c r="C8" s="8">
        <v>7</v>
      </c>
      <c r="D8" s="100"/>
      <c r="E8" s="31"/>
      <c r="F8" s="38"/>
      <c r="G8" s="109">
        <f>E8</f>
        <v>0</v>
      </c>
      <c r="H8" s="99"/>
      <c r="I8" s="38">
        <v>8</v>
      </c>
      <c r="J8" s="38" t="s">
        <v>85</v>
      </c>
      <c r="K8" s="38"/>
      <c r="L8" s="38"/>
      <c r="M8" s="38">
        <v>3.5</v>
      </c>
      <c r="N8" s="16"/>
      <c r="O8" s="16"/>
    </row>
    <row r="9" spans="1:15" ht="12.75">
      <c r="A9" s="1" t="s">
        <v>68</v>
      </c>
      <c r="B9" s="3">
        <f>ROUNDUP(IF(B5=1,G14,IF(B5=2,G14/12,IF(B5=3,(G14*7)/360,G14/360))),0)*100</f>
        <v>0</v>
      </c>
      <c r="C9" s="8">
        <v>8</v>
      </c>
      <c r="D9" s="100"/>
      <c r="E9" s="11" t="s">
        <v>83</v>
      </c>
      <c r="F9" s="38"/>
      <c r="G9" s="105">
        <f>IF(E9="nein",0,1)</f>
        <v>0</v>
      </c>
      <c r="H9" s="99">
        <v>2</v>
      </c>
      <c r="I9" s="38">
        <v>9</v>
      </c>
      <c r="J9" s="38" t="s">
        <v>86</v>
      </c>
      <c r="K9" s="38"/>
      <c r="L9" s="38"/>
      <c r="M9" s="38">
        <v>4</v>
      </c>
      <c r="N9" s="16"/>
      <c r="O9" s="16"/>
    </row>
    <row r="10" spans="1:15" ht="12.75">
      <c r="A10" s="1" t="s">
        <v>44</v>
      </c>
      <c r="B10" s="1">
        <f>ROUNDUP(IF(B5=1,G13,IF(B5=2,G13/12,IF(B5=3,(G13*7)/360,G13/360))),0)*100</f>
        <v>0</v>
      </c>
      <c r="C10" s="8">
        <v>9</v>
      </c>
      <c r="D10" s="100"/>
      <c r="E10" s="11" t="s">
        <v>83</v>
      </c>
      <c r="F10" s="38"/>
      <c r="G10" s="105">
        <f>IF(E10="nein",0,1)</f>
        <v>0</v>
      </c>
      <c r="H10" s="99">
        <v>2</v>
      </c>
      <c r="I10" s="38">
        <v>10</v>
      </c>
      <c r="J10" s="38"/>
      <c r="K10" s="38"/>
      <c r="L10" s="38"/>
      <c r="M10" s="38">
        <v>4.5</v>
      </c>
      <c r="N10" s="16"/>
      <c r="O10" s="16"/>
    </row>
    <row r="11" spans="3:15" ht="12.75">
      <c r="C11" s="8">
        <v>10</v>
      </c>
      <c r="D11" s="100"/>
      <c r="E11" s="11" t="s">
        <v>83</v>
      </c>
      <c r="F11" s="38"/>
      <c r="G11" s="105">
        <f>IF(E11="nein",0,1)</f>
        <v>0</v>
      </c>
      <c r="H11" s="99">
        <v>2</v>
      </c>
      <c r="I11" s="38">
        <v>11</v>
      </c>
      <c r="J11" s="38"/>
      <c r="K11" s="38"/>
      <c r="L11" s="38"/>
      <c r="M11" s="38">
        <v>5</v>
      </c>
      <c r="N11" s="16"/>
      <c r="O11" s="16"/>
    </row>
    <row r="12" spans="1:15" ht="15" customHeight="1">
      <c r="A12" s="27" t="s">
        <v>67</v>
      </c>
      <c r="B12" s="28"/>
      <c r="C12" s="8">
        <v>11</v>
      </c>
      <c r="D12" s="100"/>
      <c r="E12" s="31" t="s">
        <v>99</v>
      </c>
      <c r="F12" s="110"/>
      <c r="G12" s="105">
        <f>IF(E12=L4,0,IF(E12=L3,3,IF(E12=L2,2,IF(E12=L1,1))))</f>
        <v>0</v>
      </c>
      <c r="H12" s="99">
        <f>IF(L5=1,1,IF(L5=2,2,IF(L5=3,3,IF(L5=4,0))))</f>
        <v>0</v>
      </c>
      <c r="I12" s="38">
        <v>12</v>
      </c>
      <c r="J12" s="38"/>
      <c r="K12" s="38"/>
      <c r="L12" s="38"/>
      <c r="M12" s="38">
        <v>5.5</v>
      </c>
      <c r="N12" s="16"/>
      <c r="O12" s="16"/>
    </row>
    <row r="13" spans="1:15" ht="12.75">
      <c r="A13" s="5" t="s">
        <v>64</v>
      </c>
      <c r="B13" s="1">
        <f>IF(B3=1,0.4,IF(B3=2,0.384,IF(B3=3,0.368,0)))</f>
        <v>0</v>
      </c>
      <c r="C13" s="8">
        <v>12</v>
      </c>
      <c r="D13" s="100"/>
      <c r="E13" s="11"/>
      <c r="F13" s="111"/>
      <c r="G13" s="112"/>
      <c r="H13" s="99"/>
      <c r="I13" s="38">
        <v>13</v>
      </c>
      <c r="J13" s="38"/>
      <c r="K13" s="38"/>
      <c r="L13" s="38"/>
      <c r="M13" s="38">
        <v>6</v>
      </c>
      <c r="N13" s="16"/>
      <c r="O13" s="16"/>
    </row>
    <row r="14" spans="1:15" ht="12.75">
      <c r="A14" s="1" t="s">
        <v>65</v>
      </c>
      <c r="B14" s="1">
        <f>IF(B3=1,190000,IF(B3=2,182400,IF(B3=3,174800,0)))</f>
        <v>0</v>
      </c>
      <c r="C14" s="8">
        <v>13</v>
      </c>
      <c r="D14" s="100"/>
      <c r="E14" s="11"/>
      <c r="F14" s="113"/>
      <c r="G14" s="112"/>
      <c r="H14" s="99"/>
      <c r="I14" s="38"/>
      <c r="J14" s="38"/>
      <c r="K14" s="38"/>
      <c r="L14" s="38"/>
      <c r="M14" s="38"/>
      <c r="N14" s="16"/>
      <c r="O14" s="16"/>
    </row>
    <row r="15" spans="1:15" ht="12.75">
      <c r="A15" s="1" t="s">
        <v>66</v>
      </c>
      <c r="B15" s="1">
        <f>ROUNDUP(IF(B5=1,B14,IF(B5=2,B14/12,IF(B5=3,(B14*7)/360,B14/360))),0)</f>
        <v>0</v>
      </c>
      <c r="C15" s="8">
        <v>14</v>
      </c>
      <c r="D15" s="100"/>
      <c r="E15" s="11"/>
      <c r="F15" s="22"/>
      <c r="G15" s="114">
        <f>B76/100</f>
        <v>0</v>
      </c>
      <c r="H15" s="99"/>
      <c r="I15" s="38"/>
      <c r="J15" s="38"/>
      <c r="K15" s="38"/>
      <c r="L15" s="38"/>
      <c r="M15" s="38"/>
      <c r="N15" s="16"/>
      <c r="O15" s="16"/>
    </row>
    <row r="16" spans="1:15" ht="12.75">
      <c r="A16" s="1" t="s">
        <v>7</v>
      </c>
      <c r="B16" s="1">
        <f>IF(B3=0,0,IF((B7*B13)&gt;B15,B15,B7*B13))</f>
        <v>0</v>
      </c>
      <c r="C16" s="8">
        <v>15</v>
      </c>
      <c r="D16" s="100"/>
      <c r="E16" s="11"/>
      <c r="F16" s="22"/>
      <c r="G16" s="114">
        <f>B92/100</f>
        <v>0</v>
      </c>
      <c r="H16" s="103"/>
      <c r="I16" s="38"/>
      <c r="J16" s="38"/>
      <c r="K16" s="38"/>
      <c r="L16" s="38"/>
      <c r="M16" s="38"/>
      <c r="N16" s="16"/>
      <c r="O16" s="16"/>
    </row>
    <row r="17" spans="1:15" ht="12.75">
      <c r="A17" s="1" t="s">
        <v>8</v>
      </c>
      <c r="B17" s="4">
        <f>B7-B9+B10-B16</f>
        <v>0</v>
      </c>
      <c r="C17" s="8">
        <v>16</v>
      </c>
      <c r="D17" s="100"/>
      <c r="E17" s="11"/>
      <c r="F17" s="22"/>
      <c r="G17" s="114">
        <f>ROUNDDOWN(B97*G7/10000,2)</f>
        <v>0</v>
      </c>
      <c r="H17" s="115"/>
      <c r="I17" s="38"/>
      <c r="J17" s="38"/>
      <c r="K17" s="38"/>
      <c r="L17" s="38"/>
      <c r="M17" s="38"/>
      <c r="N17" s="16"/>
      <c r="O17" s="16"/>
    </row>
    <row r="18" spans="1:15" ht="12.75">
      <c r="A18" s="1" t="s">
        <v>45</v>
      </c>
      <c r="B18" s="4">
        <f>B7-B16</f>
        <v>0</v>
      </c>
      <c r="C18" s="8">
        <v>17</v>
      </c>
      <c r="D18" s="100"/>
      <c r="E18" s="11"/>
      <c r="G18" s="114">
        <f>IF(G5=0,ROUND(IF(G3=1,IF(G2&gt;IF(G10=1,54600,63000),IF(G10=1,54600,63000),G2),IF(G3=2,IF(G2&gt;IF(G10=1,4550,5250),IF(G10=1,4550,5250),G2),IF(G3=3,IF(G2&gt;IF(G10=1,1061.68,1225),IF(G10=1,1061.68,1225),G2),IF(G2&gt;IF(G10=1,151.67,175.17),IF(G10=1,151.67,175.17),G2))))*0.0995,2),0)</f>
        <v>0</v>
      </c>
      <c r="H18" s="115"/>
      <c r="I18" s="38"/>
      <c r="J18" s="38"/>
      <c r="K18" s="38"/>
      <c r="L18" s="38"/>
      <c r="M18" s="38"/>
      <c r="N18" s="16"/>
      <c r="O18" s="16"/>
    </row>
    <row r="19" spans="3:15" ht="12.75">
      <c r="C19" s="8">
        <v>18</v>
      </c>
      <c r="D19" s="100"/>
      <c r="E19" s="11"/>
      <c r="G19" s="114">
        <f>IF(G5=0,ROUND(IF(G3=1,IF(G2&gt;42750,42750,G2),IF(G3=2,IF(G2&gt;3562.5,3562.5,G2),IF(G3=3,IF(G2&gt;831.25,831.25,G2),IF(G2&gt;118.75,118.75,G2))))*(G8/200+0.009),2),0)</f>
        <v>0</v>
      </c>
      <c r="H19" s="115"/>
      <c r="I19" s="38"/>
      <c r="J19" s="38"/>
      <c r="K19" s="38"/>
      <c r="L19" s="38"/>
      <c r="M19" s="38"/>
      <c r="N19" s="16"/>
      <c r="O19" s="16"/>
    </row>
    <row r="20" spans="1:15" ht="12.75">
      <c r="A20" s="27" t="s">
        <v>9</v>
      </c>
      <c r="B20" s="28"/>
      <c r="C20" s="8">
        <v>19</v>
      </c>
      <c r="D20" s="100"/>
      <c r="E20" s="11"/>
      <c r="G20" s="114">
        <f>IF(G5=0,ROUND(IF(G3=1,IF(G2&gt;42750,42750,G2),IF(G3=2,IF(G2&gt;3562.5,3562.5,G2),IF(G3=3,IF(G2&gt;831.25,831.25,G2),IF(G2&gt;118.75,118.75,G2))))*(IF(G11=1,0.0135,0.0085)+IF(AND(G9=1,G6=0),0.0025,0)),2),0)</f>
        <v>0</v>
      </c>
      <c r="H20" s="115"/>
      <c r="I20" s="38"/>
      <c r="J20" s="38"/>
      <c r="K20" s="38"/>
      <c r="L20" s="38"/>
      <c r="M20" s="38"/>
      <c r="N20" s="16"/>
      <c r="O20" s="16"/>
    </row>
    <row r="21" spans="1:15" ht="12.75">
      <c r="A21" s="1" t="s">
        <v>10</v>
      </c>
      <c r="B21" s="6">
        <f>ROUNDDOWN(IF(B5=1,B17/100,IF(B5=2,(B17+0.67)*0.12,IF(B5=3,((B17+0.89)*3.6)/7,(B17+0.56)*3.6))),2)</f>
        <v>0.08</v>
      </c>
      <c r="C21" s="8">
        <v>20</v>
      </c>
      <c r="D21" s="100"/>
      <c r="E21" s="11"/>
      <c r="G21" s="114">
        <f>IF(G5=0,ROUND(IF(G3=1,IF(G2&gt;IF(G10=1,52800,63000),IF(G10=1,52800,63000),G2),IF(G3=2,IF(G2&gt;IF(G10=1,4400,5250),IF(G10=1,4400,5250),G2),IF(G3=3,IF(G2&gt;IF(G10=1,1026.67,1225),IF(G10=1,1026.67,1225),G2),IF(G2&gt;IF(G10=1,146.67,175.17),IF(G10=1,146.67,175.17),G2))))*0.021,2),0)</f>
        <v>0</v>
      </c>
      <c r="H21" s="115"/>
      <c r="I21" s="38"/>
      <c r="J21" s="38"/>
      <c r="K21" s="38"/>
      <c r="L21" s="38"/>
      <c r="M21" s="38"/>
      <c r="N21" s="16"/>
      <c r="O21" s="16"/>
    </row>
    <row r="22" spans="1:15" ht="12.75">
      <c r="A22" s="1" t="s">
        <v>46</v>
      </c>
      <c r="B22" s="6">
        <f>ROUNDDOWN(IF(B5=1,B18/100,IF(B5=2,(B18+0.67)*0.12,IF(B5=3,((B18+0.89)*3.6)/7,(B18+0.56)*3.6))),2)</f>
        <v>0.08</v>
      </c>
      <c r="C22" s="8">
        <v>21</v>
      </c>
      <c r="D22" s="100"/>
      <c r="E22" s="11"/>
      <c r="G22" s="114">
        <f>SUM(G15:G21)</f>
        <v>0</v>
      </c>
      <c r="H22" s="115"/>
      <c r="I22" s="38"/>
      <c r="J22" s="38"/>
      <c r="K22" s="38"/>
      <c r="L22" s="38"/>
      <c r="M22" s="38"/>
      <c r="N22" s="16"/>
      <c r="O22" s="16"/>
    </row>
    <row r="23" spans="2:15" ht="12.75">
      <c r="B23" s="6"/>
      <c r="C23" s="8">
        <v>22</v>
      </c>
      <c r="D23" s="100"/>
      <c r="E23" s="11"/>
      <c r="G23" s="114">
        <f>G2-G22</f>
        <v>0</v>
      </c>
      <c r="H23" s="115"/>
      <c r="I23" s="113"/>
      <c r="J23" s="113"/>
      <c r="K23" s="38"/>
      <c r="L23" s="38"/>
      <c r="M23" s="38"/>
      <c r="N23" s="16"/>
      <c r="O23" s="16"/>
    </row>
    <row r="24" spans="1:5" ht="12.75">
      <c r="A24" s="27" t="s">
        <v>11</v>
      </c>
      <c r="B24" s="28"/>
      <c r="C24" s="8">
        <v>23</v>
      </c>
      <c r="D24" s="100"/>
      <c r="E24" s="11"/>
    </row>
    <row r="25" spans="1:5" ht="12.75">
      <c r="A25" s="1" t="s">
        <v>12</v>
      </c>
      <c r="B25" s="1">
        <f>IF(B8=3,2,1)</f>
        <v>1</v>
      </c>
      <c r="C25" s="8">
        <v>24</v>
      </c>
      <c r="D25" s="100"/>
      <c r="E25" s="11"/>
    </row>
    <row r="26" spans="1:5" ht="12.75">
      <c r="A26" s="1" t="s">
        <v>13</v>
      </c>
      <c r="B26" s="1">
        <f>IF(B8&gt;5,0,920)</f>
        <v>920</v>
      </c>
      <c r="C26" s="8">
        <v>25</v>
      </c>
      <c r="D26" s="100"/>
      <c r="E26" s="11"/>
    </row>
    <row r="27" spans="1:5" ht="12.75">
      <c r="A27" s="1" t="s">
        <v>52</v>
      </c>
      <c r="B27" s="1">
        <f>IF(B8=2,1308,0)</f>
        <v>0</v>
      </c>
      <c r="C27" s="8">
        <v>26</v>
      </c>
      <c r="D27" s="100"/>
      <c r="E27" s="11"/>
    </row>
    <row r="28" spans="1:5" ht="12.75">
      <c r="A28" s="1" t="s">
        <v>14</v>
      </c>
      <c r="B28" s="1">
        <f>IF(B8=3,72,IF(B8&gt;4,0,36))</f>
        <v>36</v>
      </c>
      <c r="C28" s="8">
        <v>27</v>
      </c>
      <c r="D28" s="100"/>
      <c r="E28" s="11"/>
    </row>
    <row r="29" spans="1:5" ht="12.75">
      <c r="A29" s="1" t="s">
        <v>15</v>
      </c>
      <c r="B29" s="1">
        <f>IF(B8&lt;4,B4*5808,IF(B8=4,B4*2904,0))</f>
        <v>0</v>
      </c>
      <c r="C29" s="8">
        <v>28</v>
      </c>
      <c r="D29" s="100"/>
      <c r="E29" s="11"/>
    </row>
    <row r="30" spans="1:5" ht="12.75">
      <c r="A30" s="1" t="s">
        <v>16</v>
      </c>
      <c r="B30" s="1">
        <f>B26+B27+B28</f>
        <v>956</v>
      </c>
      <c r="C30" s="8">
        <v>29</v>
      </c>
      <c r="D30" s="100"/>
      <c r="E30" s="11"/>
    </row>
    <row r="31" spans="3:5" ht="12.75">
      <c r="C31" s="8">
        <v>30</v>
      </c>
      <c r="D31" s="100"/>
      <c r="E31" s="11"/>
    </row>
    <row r="32" spans="1:5" ht="12.75">
      <c r="A32" s="27" t="s">
        <v>54</v>
      </c>
      <c r="B32" s="29"/>
      <c r="C32" s="8">
        <v>31</v>
      </c>
      <c r="D32" s="100"/>
      <c r="E32" s="11"/>
    </row>
    <row r="33" spans="1:5" ht="12.75">
      <c r="A33" s="1" t="s">
        <v>46</v>
      </c>
      <c r="B33" s="6">
        <f>MIN(63000,B22)</f>
        <v>0.08</v>
      </c>
      <c r="C33" s="8">
        <v>32</v>
      </c>
      <c r="D33" s="100"/>
      <c r="E33" s="11"/>
    </row>
    <row r="34" spans="1:5" ht="12.75">
      <c r="A34" s="1" t="s">
        <v>55</v>
      </c>
      <c r="B34" s="6">
        <f>IF(B6=1,0,0.28*B33*0.0995)</f>
        <v>0.0022288000000000004</v>
      </c>
      <c r="C34" s="8">
        <v>33</v>
      </c>
      <c r="D34" s="100"/>
      <c r="E34" s="11"/>
    </row>
    <row r="35" spans="1:5" ht="12.75">
      <c r="A35" s="5" t="s">
        <v>57</v>
      </c>
      <c r="B35" s="6">
        <f>1500*B25</f>
        <v>1500</v>
      </c>
      <c r="C35" s="8">
        <v>34</v>
      </c>
      <c r="D35" s="100"/>
      <c r="E35" s="11"/>
    </row>
    <row r="36" spans="1:5" ht="12.75">
      <c r="A36" s="5" t="s">
        <v>56</v>
      </c>
      <c r="B36" s="6">
        <f>MIN(B35,0.11*B33)</f>
        <v>0.0088</v>
      </c>
      <c r="C36" s="8">
        <v>35</v>
      </c>
      <c r="D36" s="100"/>
      <c r="E36" s="11"/>
    </row>
    <row r="37" spans="1:5" ht="12.75">
      <c r="A37" s="5" t="s">
        <v>58</v>
      </c>
      <c r="B37" s="6">
        <f>IF(B8&gt;4,0,ROUNDUP(B34+B36,0))</f>
        <v>1</v>
      </c>
      <c r="C37" s="8">
        <v>36</v>
      </c>
      <c r="D37" s="100"/>
      <c r="E37" s="11"/>
    </row>
    <row r="38" spans="1:5" ht="12.75">
      <c r="A38" s="5"/>
      <c r="B38" s="6"/>
      <c r="C38" s="8">
        <v>37</v>
      </c>
      <c r="D38" s="100"/>
      <c r="E38" s="11"/>
    </row>
    <row r="39" spans="1:5" ht="12.75">
      <c r="A39" s="30" t="s">
        <v>34</v>
      </c>
      <c r="B39" s="28"/>
      <c r="C39" s="8">
        <v>38</v>
      </c>
      <c r="D39" s="100"/>
      <c r="E39" s="11"/>
    </row>
    <row r="40" spans="1:5" ht="12.75">
      <c r="A40" s="1" t="s">
        <v>17</v>
      </c>
      <c r="B40" s="6">
        <f>B22*0.2</f>
        <v>0.016</v>
      </c>
      <c r="C40" s="8">
        <v>39</v>
      </c>
      <c r="D40" s="100"/>
      <c r="E40" s="11"/>
    </row>
    <row r="41" spans="1:5" ht="12.75">
      <c r="A41" s="1" t="s">
        <v>18</v>
      </c>
      <c r="B41" s="6">
        <f>3068*B25</f>
        <v>3068</v>
      </c>
      <c r="C41" s="8">
        <v>40</v>
      </c>
      <c r="D41" s="100"/>
      <c r="E41" s="11"/>
    </row>
    <row r="42" spans="1:5" ht="12.75">
      <c r="A42" s="1" t="s">
        <v>19</v>
      </c>
      <c r="B42" s="1">
        <f>1334*B25</f>
        <v>1334</v>
      </c>
      <c r="C42" s="8">
        <v>41</v>
      </c>
      <c r="D42" s="100"/>
      <c r="E42" s="11"/>
    </row>
    <row r="43" spans="1:5" ht="12.75">
      <c r="A43" s="1" t="s">
        <v>20</v>
      </c>
      <c r="B43" s="1">
        <f>667*B25</f>
        <v>667</v>
      </c>
      <c r="C43" s="8">
        <v>42</v>
      </c>
      <c r="D43" s="100"/>
      <c r="E43" s="11"/>
    </row>
    <row r="44" spans="1:5" ht="12.75">
      <c r="A44" s="1" t="s">
        <v>21</v>
      </c>
      <c r="B44" s="1">
        <f>1134*B25</f>
        <v>1134</v>
      </c>
      <c r="C44" s="8">
        <v>43</v>
      </c>
      <c r="D44" s="100"/>
      <c r="E44" s="11"/>
    </row>
    <row r="45" spans="1:5" ht="12.75">
      <c r="A45" s="1" t="s">
        <v>22</v>
      </c>
      <c r="B45" s="3">
        <f>IF(B8&gt;4,0,IF(B40&gt;B44,B44,ROUNDDOWN(B40,0)))</f>
        <v>0</v>
      </c>
      <c r="C45" s="8">
        <v>44</v>
      </c>
      <c r="D45" s="100"/>
      <c r="E45" s="11"/>
    </row>
    <row r="46" spans="3:5" ht="12.75">
      <c r="C46" s="8">
        <v>45</v>
      </c>
      <c r="D46" s="100"/>
      <c r="E46" s="11"/>
    </row>
    <row r="47" spans="1:5" ht="12.75">
      <c r="A47" s="27" t="s">
        <v>35</v>
      </c>
      <c r="B47" s="28"/>
      <c r="C47" s="8">
        <v>46</v>
      </c>
      <c r="D47" s="100"/>
      <c r="E47" s="11"/>
    </row>
    <row r="48" spans="1:5" ht="12.75">
      <c r="A48" s="1" t="s">
        <v>18</v>
      </c>
      <c r="B48" s="6">
        <f>MAX(0,ROUNDDOWN(B41-(B22*0.16),2))</f>
        <v>3067.98</v>
      </c>
      <c r="C48" s="8">
        <v>47</v>
      </c>
      <c r="D48" s="100"/>
      <c r="E48" s="11"/>
    </row>
    <row r="49" spans="1:5" ht="12.75">
      <c r="A49" s="7" t="s">
        <v>22</v>
      </c>
      <c r="B49" s="6">
        <f>ROUNDDOWN(IF(B40&lt;B48,B40,IF((B40-B48)&lt;B42,B48+B40-B48,IF((B40-B48-B42)/2&lt;B43,B48+B42+(B40-B48-B42)/2,B48+B42+B43))),0)</f>
        <v>0</v>
      </c>
      <c r="C49" s="8">
        <v>48</v>
      </c>
      <c r="D49" s="100"/>
      <c r="E49" s="11"/>
    </row>
    <row r="50" spans="1:5" ht="12.75">
      <c r="A50" s="1" t="s">
        <v>96</v>
      </c>
      <c r="B50" s="6">
        <f>IF(B6=1,MAX(B45,B37),IF(B8&lt;5,MAX(B49,B37),0))</f>
        <v>1</v>
      </c>
      <c r="C50" s="8">
        <v>49</v>
      </c>
      <c r="D50" s="100"/>
      <c r="E50" s="11"/>
    </row>
    <row r="51" spans="1:5" ht="12.75">
      <c r="A51" s="1" t="s">
        <v>23</v>
      </c>
      <c r="B51" s="3">
        <f>ROUNDDOWN(B21-B30-B50,0)</f>
        <v>-956</v>
      </c>
      <c r="C51" s="8">
        <v>50</v>
      </c>
      <c r="D51" s="100"/>
      <c r="E51" s="11"/>
    </row>
    <row r="52" spans="1:5" ht="12.75">
      <c r="A52" s="1" t="s">
        <v>29</v>
      </c>
      <c r="B52" s="3">
        <f>MAX(0,ROUNDDOWN(B51/B25,0))</f>
        <v>0</v>
      </c>
      <c r="C52" s="8">
        <v>51</v>
      </c>
      <c r="D52" s="100"/>
      <c r="E52" s="11"/>
    </row>
    <row r="53" spans="3:5" ht="12.75">
      <c r="C53" s="8">
        <v>52</v>
      </c>
      <c r="D53" s="100"/>
      <c r="E53" s="11"/>
    </row>
    <row r="54" spans="1:5" ht="12.75">
      <c r="A54" s="27" t="s">
        <v>70</v>
      </c>
      <c r="B54" s="28"/>
      <c r="C54" s="8">
        <v>53</v>
      </c>
      <c r="D54" s="100"/>
      <c r="E54" s="11"/>
    </row>
    <row r="55" spans="1:5" ht="12.75">
      <c r="A55" s="1" t="s">
        <v>25</v>
      </c>
      <c r="B55" s="1">
        <f>IF(AND(B52&gt;7664,B52&lt;12740),INT((883.74*(B52-7664)/10000+1500)*(B52-7664)/10000),IF(AND(B52&gt;12739,B52&lt;52152),INT((228.74*(B52-12739)/10000+2397)*(B52-12739)/10000+989),IF(AND(B52&gt;52151,B52&lt;250001),INT(B52*0.42-7914),IF(B52&gt;250000,INT(B52*0.45-15414),0))))*B25</f>
        <v>0</v>
      </c>
      <c r="C55" s="8">
        <v>54</v>
      </c>
      <c r="D55" s="100"/>
      <c r="E55" s="11"/>
    </row>
    <row r="56" spans="1:5" ht="12.75">
      <c r="A56" s="2"/>
      <c r="C56" s="8">
        <v>55</v>
      </c>
      <c r="D56" s="100"/>
      <c r="E56" s="11"/>
    </row>
    <row r="57" spans="1:5" ht="12.75">
      <c r="A57" s="27" t="s">
        <v>28</v>
      </c>
      <c r="B57" s="28"/>
      <c r="C57" s="8">
        <v>56</v>
      </c>
      <c r="D57" s="100"/>
      <c r="E57" s="11"/>
    </row>
    <row r="58" spans="2:5" ht="12.75">
      <c r="B58" s="3"/>
      <c r="C58" s="8">
        <v>57</v>
      </c>
      <c r="D58" s="100"/>
      <c r="E58" s="11"/>
    </row>
    <row r="59" spans="1:5" ht="12.75">
      <c r="A59" s="1" t="s">
        <v>24</v>
      </c>
      <c r="B59" s="3">
        <f>MIN(25812,B52)*1.25</f>
        <v>0</v>
      </c>
      <c r="C59" s="8">
        <v>58</v>
      </c>
      <c r="D59" s="100"/>
      <c r="E59" s="11"/>
    </row>
    <row r="60" spans="1:5" ht="12.75">
      <c r="A60" s="1" t="s">
        <v>30</v>
      </c>
      <c r="B60" s="1">
        <f>IF(AND(B59&gt;7664,B59&lt;12740),INT((883.74*(B59-7664)/10000+1500)*(B59-7664)/10000),IF(AND(B59&gt;12739,B59&lt;52152),INT((228.74*(B59-12739)/10000+2397)*(B59-12739)/10000+989),IF(B59&gt;52151,INT(B59*0.42-7914),0)))</f>
        <v>0</v>
      </c>
      <c r="C60" s="8">
        <v>59</v>
      </c>
      <c r="D60" s="100"/>
      <c r="E60" s="11"/>
    </row>
    <row r="61" spans="1:5" ht="12.75">
      <c r="A61" s="1" t="s">
        <v>24</v>
      </c>
      <c r="B61" s="3">
        <f>MIN(25812,B52)*0.75</f>
        <v>0</v>
      </c>
      <c r="C61" s="8">
        <v>60</v>
      </c>
      <c r="D61" s="100"/>
      <c r="E61" s="11"/>
    </row>
    <row r="62" spans="1:5" ht="12.75">
      <c r="A62" s="1" t="s">
        <v>31</v>
      </c>
      <c r="B62" s="3">
        <f>IF(AND(B61&gt;7664,B61&lt;12740),INT((883.74*(B61-7664)/10000+1500)*(B61-7664)/10000),IF(AND(B61&gt;12739,B61&lt;52152),INT((228.74*(B61-12739)/10000+2397)*(B61-12739)/10000+989),IF(B61&gt;52151,INT(B61*0.42-7914),0)))</f>
        <v>0</v>
      </c>
      <c r="C62" s="8">
        <v>61</v>
      </c>
      <c r="D62" s="100"/>
      <c r="E62" s="11"/>
    </row>
    <row r="63" spans="1:5" ht="12.75">
      <c r="A63" s="1" t="s">
        <v>32</v>
      </c>
      <c r="B63" s="3">
        <f>(B60-B62)*2</f>
        <v>0</v>
      </c>
      <c r="C63" s="8">
        <v>62</v>
      </c>
      <c r="D63" s="100"/>
      <c r="E63" s="11"/>
    </row>
    <row r="64" spans="1:5" ht="12.75">
      <c r="A64" s="1" t="s">
        <v>33</v>
      </c>
      <c r="B64" s="1">
        <f>ROUNDDOWN(MIN(B52,25812)*0.15,0)</f>
        <v>0</v>
      </c>
      <c r="C64" s="8">
        <v>63</v>
      </c>
      <c r="D64" s="100"/>
      <c r="E64" s="11"/>
    </row>
    <row r="65" spans="1:5" ht="12.75">
      <c r="A65" s="1" t="s">
        <v>25</v>
      </c>
      <c r="B65" s="3">
        <f>MAX(B63,B64)</f>
        <v>0</v>
      </c>
      <c r="C65" s="8">
        <v>64</v>
      </c>
      <c r="D65" s="100"/>
      <c r="E65" s="11"/>
    </row>
    <row r="66" spans="1:5" ht="13.5" customHeight="1">
      <c r="A66" s="1" t="s">
        <v>25</v>
      </c>
      <c r="B66" s="3">
        <f>ROUNDDOWN(MAX((MIN(B52,200000)-25812),0)*0.42+B65,0)</f>
        <v>0</v>
      </c>
      <c r="C66" s="8">
        <v>65</v>
      </c>
      <c r="D66" s="100"/>
      <c r="E66" s="11"/>
    </row>
    <row r="67" spans="1:5" ht="12.75">
      <c r="A67" s="1" t="s">
        <v>43</v>
      </c>
      <c r="B67" s="1">
        <f>IF(AND(B52&gt;9144,B52&lt;=25812),B65,0)</f>
        <v>0</v>
      </c>
      <c r="C67" s="8">
        <v>66</v>
      </c>
      <c r="D67" s="100"/>
      <c r="E67" s="11"/>
    </row>
    <row r="68" spans="1:5" ht="12.75">
      <c r="A68" s="1" t="s">
        <v>25</v>
      </c>
      <c r="B68" s="3">
        <v>1380</v>
      </c>
      <c r="C68" s="8">
        <v>67</v>
      </c>
      <c r="D68" s="100"/>
      <c r="E68" s="11"/>
    </row>
    <row r="69" spans="1:5" ht="12.75">
      <c r="A69" s="1" t="s">
        <v>25</v>
      </c>
      <c r="B69" s="1">
        <f>ROUNDDOWN(MIN(MAX(B52-9144,0)*0.42+B68,B66),0)</f>
        <v>0</v>
      </c>
      <c r="C69" s="8">
        <v>68</v>
      </c>
      <c r="D69" s="100"/>
      <c r="E69" s="11"/>
    </row>
    <row r="70" spans="1:5" ht="12.75">
      <c r="A70" s="1" t="s">
        <v>98</v>
      </c>
      <c r="B70" s="3">
        <f>B69+MAX(B52-200000,0)*0.45</f>
        <v>0</v>
      </c>
      <c r="C70" s="8">
        <v>69</v>
      </c>
      <c r="D70" s="100"/>
      <c r="E70" s="11"/>
    </row>
    <row r="71" spans="1:5" ht="12.75">
      <c r="A71" s="1" t="s">
        <v>26</v>
      </c>
      <c r="B71" s="1">
        <f>IF(B8&lt;5,B55,B70)</f>
        <v>0</v>
      </c>
      <c r="C71" s="8">
        <v>70</v>
      </c>
      <c r="D71" s="100"/>
      <c r="E71" s="11"/>
    </row>
    <row r="72" spans="1:5" ht="12.75">
      <c r="A72" s="1" t="s">
        <v>6</v>
      </c>
      <c r="B72" s="1">
        <f>B71*100</f>
        <v>0</v>
      </c>
      <c r="C72" s="8">
        <v>71</v>
      </c>
      <c r="D72" s="100"/>
      <c r="E72" s="11"/>
    </row>
    <row r="73" spans="3:5" ht="12.75">
      <c r="C73" s="8">
        <v>72</v>
      </c>
      <c r="D73" s="100"/>
      <c r="E73" s="11"/>
    </row>
    <row r="74" spans="1:5" ht="12.75">
      <c r="A74" s="27" t="s">
        <v>42</v>
      </c>
      <c r="B74" s="28"/>
      <c r="C74" s="8">
        <v>73</v>
      </c>
      <c r="D74" s="100"/>
      <c r="E74" s="11"/>
    </row>
    <row r="75" spans="3:5" ht="12.75">
      <c r="C75" s="8">
        <v>74</v>
      </c>
      <c r="D75" s="100"/>
      <c r="E75" s="11"/>
    </row>
    <row r="76" spans="1:5" ht="12.75">
      <c r="A76" s="1" t="s">
        <v>50</v>
      </c>
      <c r="B76" s="1">
        <f>IF(B5=1,B72,IF(B5=2,ROUNDDOWN(B72/12,0),IF(B5=3,ROUNDDOWN((B72*7)/360,0),ROUNDDOWN(B72/360,0))))</f>
        <v>0</v>
      </c>
      <c r="C76" s="8">
        <v>75</v>
      </c>
      <c r="D76" s="100"/>
      <c r="E76" s="11"/>
    </row>
    <row r="77" spans="1:5" ht="12.75">
      <c r="A77" s="1" t="s">
        <v>16</v>
      </c>
      <c r="B77" s="1">
        <f>B29+B30</f>
        <v>956</v>
      </c>
      <c r="C77" s="8">
        <v>76</v>
      </c>
      <c r="D77" s="100"/>
      <c r="E77" s="11"/>
    </row>
    <row r="78" spans="1:5" ht="12.75">
      <c r="A78" s="1" t="s">
        <v>23</v>
      </c>
      <c r="B78" s="3">
        <f>B21-B50-B77</f>
        <v>-956.92</v>
      </c>
      <c r="C78" s="8">
        <v>77</v>
      </c>
      <c r="D78" s="100"/>
      <c r="E78" s="11"/>
    </row>
    <row r="79" spans="1:5" ht="12.75">
      <c r="A79" s="1" t="s">
        <v>53</v>
      </c>
      <c r="B79" s="1">
        <f>IF(B78&lt;36,0,ROUNDDOWN(B78/B25,0))</f>
        <v>0</v>
      </c>
      <c r="C79" s="8">
        <v>78</v>
      </c>
      <c r="D79" s="100"/>
      <c r="E79" s="11"/>
    </row>
    <row r="80" spans="1:5" ht="12.75">
      <c r="A80" s="1" t="s">
        <v>25</v>
      </c>
      <c r="B80" s="1">
        <f>(IF(AND(B79&gt;7664,B79&lt;12740),INT((883.74*(B79-7664)/10000+1500)*(B79-7664)/10000),IF(AND(B79&gt;12739,B79&lt;52152),INT((228.74*(B79-12739)/10000+2397)*(B79-12739)/10000+989),IF(B79&gt;52151,INT(B79*0.42-7914),0))))*B25</f>
        <v>0</v>
      </c>
      <c r="C80" s="8">
        <v>79</v>
      </c>
      <c r="D80" s="100"/>
      <c r="E80" s="11"/>
    </row>
    <row r="81" spans="1:5" ht="12.75">
      <c r="A81" s="1" t="s">
        <v>36</v>
      </c>
      <c r="B81" s="1">
        <f>IF(B4&gt;0,B80,B71)</f>
        <v>0</v>
      </c>
      <c r="C81" s="8">
        <v>80</v>
      </c>
      <c r="D81" s="100"/>
      <c r="E81" s="11"/>
    </row>
    <row r="82" spans="3:5" ht="12.75">
      <c r="C82" s="8">
        <v>81</v>
      </c>
      <c r="D82" s="100"/>
      <c r="E82" s="11"/>
    </row>
    <row r="83" spans="1:5" ht="12.75">
      <c r="A83" s="27" t="s">
        <v>37</v>
      </c>
      <c r="B83" s="28"/>
      <c r="C83" s="8">
        <v>82</v>
      </c>
      <c r="D83" s="100"/>
      <c r="E83" s="11"/>
    </row>
    <row r="84" spans="1:5" ht="12.75">
      <c r="A84" s="1" t="s">
        <v>38</v>
      </c>
      <c r="B84" s="1">
        <f>972*B25</f>
        <v>972</v>
      </c>
      <c r="C84" s="8">
        <v>83</v>
      </c>
      <c r="D84" s="100"/>
      <c r="E84" s="11"/>
    </row>
    <row r="85" spans="1:5" ht="12.75">
      <c r="A85" s="1" t="s">
        <v>39</v>
      </c>
      <c r="B85" s="6">
        <f>ROUNDDOWN((B81*5.5)/100,2)</f>
        <v>0</v>
      </c>
      <c r="C85" s="8">
        <v>84</v>
      </c>
      <c r="D85" s="100"/>
      <c r="E85" s="11"/>
    </row>
    <row r="86" spans="1:5" ht="12.75">
      <c r="A86" s="1" t="s">
        <v>40</v>
      </c>
      <c r="B86" s="6">
        <f>((B81-B84)*20)/100</f>
        <v>-194.4</v>
      </c>
      <c r="C86" s="8">
        <v>85</v>
      </c>
      <c r="D86" s="100"/>
      <c r="E86" s="11"/>
    </row>
    <row r="87" spans="1:5" ht="12.75">
      <c r="A87" s="1" t="s">
        <v>39</v>
      </c>
      <c r="B87" s="6">
        <f>MIN(B86,B85)</f>
        <v>-194.4</v>
      </c>
      <c r="C87" s="8">
        <v>86</v>
      </c>
      <c r="D87" s="100"/>
      <c r="E87" s="11"/>
    </row>
    <row r="88" spans="1:5" ht="12.75">
      <c r="A88" s="1" t="s">
        <v>6</v>
      </c>
      <c r="B88" s="1">
        <f>B87*100</f>
        <v>-19440</v>
      </c>
      <c r="C88" s="8">
        <v>87</v>
      </c>
      <c r="D88" s="100"/>
      <c r="E88" s="11"/>
    </row>
    <row r="89" spans="3:5" ht="12.75">
      <c r="C89" s="8">
        <v>88</v>
      </c>
      <c r="D89" s="100"/>
      <c r="E89" s="11"/>
    </row>
    <row r="90" spans="1:5" ht="12.75">
      <c r="A90" s="27" t="s">
        <v>69</v>
      </c>
      <c r="B90" s="28"/>
      <c r="C90" s="8">
        <v>89</v>
      </c>
      <c r="D90" s="100"/>
      <c r="E90" s="11"/>
    </row>
    <row r="91" spans="1:5" ht="12.75">
      <c r="A91" s="1" t="s">
        <v>27</v>
      </c>
      <c r="B91" s="1">
        <f>ROUNDDOWN(IF(B5=1,B88,IF(B5=2,B88/12,IF(B5=3,(B88*7)/360,B88/360))),0)</f>
        <v>-1620</v>
      </c>
      <c r="C91" s="8">
        <v>90</v>
      </c>
      <c r="D91" s="100"/>
      <c r="E91" s="11"/>
    </row>
    <row r="92" spans="1:5" ht="12.75">
      <c r="A92" s="1" t="s">
        <v>51</v>
      </c>
      <c r="B92" s="1">
        <f>IF(B81&gt;B84,B91,0)</f>
        <v>0</v>
      </c>
      <c r="C92" s="8">
        <v>91</v>
      </c>
      <c r="D92" s="100"/>
      <c r="E92" s="11"/>
    </row>
    <row r="93" spans="1:5" ht="12.75">
      <c r="A93" s="1" t="s">
        <v>6</v>
      </c>
      <c r="B93" s="1">
        <f>B81*100</f>
        <v>0</v>
      </c>
      <c r="C93" s="8">
        <v>92</v>
      </c>
      <c r="D93" s="9"/>
      <c r="E93" s="10"/>
    </row>
    <row r="94" spans="3:5" ht="12.75">
      <c r="C94" s="8">
        <v>93</v>
      </c>
      <c r="D94" s="9"/>
      <c r="E94" s="10"/>
    </row>
    <row r="95" spans="1:5" ht="12.75">
      <c r="A95" s="27" t="s">
        <v>41</v>
      </c>
      <c r="B95" s="28"/>
      <c r="C95" s="8">
        <v>94</v>
      </c>
      <c r="D95" s="9"/>
      <c r="E95" s="10"/>
    </row>
    <row r="96" spans="1:5" ht="12.75">
      <c r="A96" s="1" t="s">
        <v>27</v>
      </c>
      <c r="B96" s="1">
        <f>ROUNDDOWN(IF(B5=1,B93,IF(B5=2,B93/12,IF(B5=3,(B93*7)/360,B93/360))),0)</f>
        <v>0</v>
      </c>
      <c r="C96" s="8">
        <v>95</v>
      </c>
      <c r="D96" s="9"/>
      <c r="E96" s="10"/>
    </row>
    <row r="97" spans="1:5" ht="12.75">
      <c r="A97" s="1" t="s">
        <v>41</v>
      </c>
      <c r="B97" s="1">
        <f>B96</f>
        <v>0</v>
      </c>
      <c r="C97" s="8">
        <v>96</v>
      </c>
      <c r="D97" s="9"/>
      <c r="E97" s="10"/>
    </row>
    <row r="98" spans="3:5" ht="12.75">
      <c r="C98" s="8">
        <v>97</v>
      </c>
      <c r="D98" s="9"/>
      <c r="E98" s="10"/>
    </row>
    <row r="99" spans="3:5" ht="12.75">
      <c r="C99" s="8">
        <v>98</v>
      </c>
      <c r="D99" s="9"/>
      <c r="E99" s="10"/>
    </row>
    <row r="100" spans="3:5" ht="12.75">
      <c r="C100" s="8">
        <v>99</v>
      </c>
      <c r="D100" s="9"/>
      <c r="E100" s="10"/>
    </row>
    <row r="101" spans="3:5" ht="12.75">
      <c r="C101" s="8">
        <v>100</v>
      </c>
      <c r="D101" s="9"/>
      <c r="E101" s="10"/>
    </row>
  </sheetData>
  <sheetProtection/>
  <dataValidations count="4">
    <dataValidation type="whole" allowBlank="1" showInputMessage="1" showErrorMessage="1" sqref="G3">
      <formula1>1</formula1>
      <formula2>4</formula2>
    </dataValidation>
    <dataValidation type="whole" allowBlank="1" showInputMessage="1" showErrorMessage="1" sqref="G4">
      <formula1>1</formula1>
      <formula2>6</formula2>
    </dataValidation>
    <dataValidation type="whole" allowBlank="1" showInputMessage="1" showErrorMessage="1" sqref="G9:G11">
      <formula1>0</formula1>
      <formula2>1</formula2>
    </dataValidation>
    <dataValidation type="whole" allowBlank="1" showInputMessage="1" showErrorMessage="1" sqref="G12">
      <formula1>0</formula1>
      <formula2>2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7"/>
  </sheetPr>
  <dimension ref="A1:H61"/>
  <sheetViews>
    <sheetView showGridLines="0" view="pageBreakPreview" zoomScale="115" zoomScaleSheetLayoutView="115" workbookViewId="0" topLeftCell="A10">
      <selection activeCell="H27" sqref="H27"/>
    </sheetView>
  </sheetViews>
  <sheetFormatPr defaultColWidth="11.421875" defaultRowHeight="12.75"/>
  <cols>
    <col min="1" max="1" width="15.00390625" style="0" customWidth="1"/>
    <col min="6" max="6" width="15.421875" style="0" bestFit="1" customWidth="1"/>
    <col min="7" max="7" width="9.28125" style="0" customWidth="1"/>
  </cols>
  <sheetData>
    <row r="1" spans="1:8" ht="20.25">
      <c r="A1" s="16"/>
      <c r="B1" s="128" t="s">
        <v>102</v>
      </c>
      <c r="C1" s="128"/>
      <c r="D1" s="128"/>
      <c r="E1" s="128"/>
      <c r="F1" s="128"/>
      <c r="G1" s="82"/>
      <c r="H1" s="16"/>
    </row>
    <row r="2" spans="1:8" ht="12.75" customHeight="1">
      <c r="A2" s="16"/>
      <c r="B2" s="129" t="s">
        <v>92</v>
      </c>
      <c r="C2" s="129"/>
      <c r="D2" s="129"/>
      <c r="E2" s="129"/>
      <c r="F2" s="129"/>
      <c r="G2" s="83"/>
      <c r="H2" s="16"/>
    </row>
    <row r="3" spans="1:8" ht="12.75" customHeight="1">
      <c r="A3" s="16"/>
      <c r="B3" s="83"/>
      <c r="C3" s="83"/>
      <c r="D3" s="83"/>
      <c r="E3" s="83"/>
      <c r="F3" s="83"/>
      <c r="G3" s="83"/>
      <c r="H3" s="16"/>
    </row>
    <row r="4" spans="1:8" ht="12.75" customHeight="1">
      <c r="A4" s="16"/>
      <c r="B4" s="83"/>
      <c r="C4" s="83"/>
      <c r="D4" s="83"/>
      <c r="E4" s="83"/>
      <c r="F4" s="83"/>
      <c r="G4" s="83"/>
      <c r="H4" s="16"/>
    </row>
    <row r="5" spans="1:8" ht="12.75" customHeight="1">
      <c r="A5" s="16"/>
      <c r="B5" s="83"/>
      <c r="C5" s="83"/>
      <c r="D5" s="83"/>
      <c r="E5" s="83"/>
      <c r="F5" s="83"/>
      <c r="G5" s="83"/>
      <c r="H5" s="16"/>
    </row>
    <row r="6" spans="1:8" ht="12.75" customHeight="1">
      <c r="A6" s="16"/>
      <c r="B6" s="83"/>
      <c r="C6" s="83"/>
      <c r="D6" s="83"/>
      <c r="E6" s="83"/>
      <c r="F6" s="83"/>
      <c r="G6" s="83"/>
      <c r="H6" s="16"/>
    </row>
    <row r="7" spans="1:8" ht="12.75" customHeight="1">
      <c r="A7" s="16"/>
      <c r="B7" s="83"/>
      <c r="C7" s="83"/>
      <c r="D7" s="83"/>
      <c r="E7" s="83"/>
      <c r="F7" s="83"/>
      <c r="G7" s="83"/>
      <c r="H7" s="16"/>
    </row>
    <row r="8" spans="1:8" ht="12.75" customHeight="1">
      <c r="A8" s="16"/>
      <c r="B8" s="83"/>
      <c r="C8" s="83"/>
      <c r="D8" s="83"/>
      <c r="E8" s="83"/>
      <c r="F8" s="83"/>
      <c r="G8" s="83"/>
      <c r="H8" s="16"/>
    </row>
    <row r="9" spans="1:8" ht="12.75" customHeight="1">
      <c r="A9" s="16"/>
      <c r="B9" s="83"/>
      <c r="C9" s="83"/>
      <c r="D9" s="83"/>
      <c r="E9" s="83"/>
      <c r="F9" s="83"/>
      <c r="G9" s="83"/>
      <c r="H9" s="16"/>
    </row>
    <row r="10" spans="1:8" ht="12.75" customHeight="1">
      <c r="A10" s="16"/>
      <c r="B10" s="83"/>
      <c r="C10" s="83"/>
      <c r="D10" s="83"/>
      <c r="E10" s="83"/>
      <c r="F10" s="83"/>
      <c r="G10" s="83"/>
      <c r="H10" s="16"/>
    </row>
    <row r="11" spans="1:8" ht="12.75" customHeight="1">
      <c r="A11" s="16"/>
      <c r="B11" s="83"/>
      <c r="C11" s="83"/>
      <c r="D11" s="83"/>
      <c r="E11" s="83"/>
      <c r="F11" s="83"/>
      <c r="G11" s="83"/>
      <c r="H11" s="16"/>
    </row>
    <row r="12" spans="1:8" ht="12.75" customHeight="1">
      <c r="A12" s="16"/>
      <c r="B12" s="83"/>
      <c r="C12" s="83"/>
      <c r="D12" s="83"/>
      <c r="E12" s="83"/>
      <c r="F12" s="83"/>
      <c r="G12" s="83"/>
      <c r="H12" s="16"/>
    </row>
    <row r="13" spans="1:8" ht="12.75" customHeight="1">
      <c r="A13" s="16"/>
      <c r="B13" s="83"/>
      <c r="C13" s="83"/>
      <c r="D13" s="83"/>
      <c r="E13" s="83"/>
      <c r="F13" s="83"/>
      <c r="G13" s="83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5.75">
      <c r="A15" s="16"/>
      <c r="B15" s="84" t="s">
        <v>104</v>
      </c>
      <c r="C15" s="85"/>
      <c r="D15" s="85"/>
      <c r="E15" s="16"/>
      <c r="F15" s="116" t="str">
        <f>IF(Berechnung!E4="","",Berechnung!E4)</f>
        <v>I</v>
      </c>
      <c r="G15" s="16"/>
      <c r="H15" s="16"/>
    </row>
    <row r="16" spans="1:8" ht="15.75">
      <c r="A16" s="16"/>
      <c r="B16" s="84" t="s">
        <v>88</v>
      </c>
      <c r="C16" s="85"/>
      <c r="D16" s="85"/>
      <c r="E16" s="16"/>
      <c r="F16" s="118">
        <f>Info!D15</f>
        <v>0</v>
      </c>
      <c r="G16" s="16"/>
      <c r="H16" s="16"/>
    </row>
    <row r="17" spans="1:8" ht="15.75">
      <c r="A17" s="16"/>
      <c r="B17" s="84" t="s">
        <v>90</v>
      </c>
      <c r="C17" s="85"/>
      <c r="D17" s="85"/>
      <c r="E17" s="16"/>
      <c r="F17" s="118">
        <f>Berechnung!G14</f>
        <v>0</v>
      </c>
      <c r="G17" s="16"/>
      <c r="H17" s="16"/>
    </row>
    <row r="18" spans="1:8" ht="15.75">
      <c r="A18" s="16"/>
      <c r="B18" s="84" t="s">
        <v>89</v>
      </c>
      <c r="C18" s="85"/>
      <c r="D18" s="85"/>
      <c r="E18" s="16"/>
      <c r="F18" s="86" t="str">
        <f>IF(Berechnung!G4=1,"allgemeine","besondere")</f>
        <v>allgemeine</v>
      </c>
      <c r="G18" s="16"/>
      <c r="H18" s="16"/>
    </row>
    <row r="19" spans="1:8" ht="15.75">
      <c r="A19" s="16"/>
      <c r="B19" s="84" t="s">
        <v>105</v>
      </c>
      <c r="C19" s="16"/>
      <c r="D19" s="16"/>
      <c r="E19" s="16"/>
      <c r="F19" s="87">
        <f>Berechnung!G8</f>
        <v>0</v>
      </c>
      <c r="G19" s="16"/>
      <c r="H19" s="16"/>
    </row>
    <row r="20" spans="1:8" ht="15.75">
      <c r="A20" s="16"/>
      <c r="B20" s="84" t="s">
        <v>106</v>
      </c>
      <c r="C20" s="16"/>
      <c r="D20" s="16"/>
      <c r="E20" s="16"/>
      <c r="F20" s="117">
        <f>Berechnung!G7</f>
        <v>0</v>
      </c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5.75">
      <c r="A22" s="16"/>
      <c r="B22" s="88" t="s">
        <v>87</v>
      </c>
      <c r="C22" s="89"/>
      <c r="D22" s="89"/>
      <c r="E22" s="132">
        <f>Berechnung!G2</f>
        <v>0</v>
      </c>
      <c r="F22" s="132"/>
      <c r="G22" s="16"/>
      <c r="H22" s="16"/>
    </row>
    <row r="23" spans="1:8" ht="15.75">
      <c r="A23" s="16"/>
      <c r="B23" s="84"/>
      <c r="C23" s="85"/>
      <c r="D23" s="85"/>
      <c r="E23" s="90"/>
      <c r="F23" s="90"/>
      <c r="G23" s="16"/>
      <c r="H23" s="16"/>
    </row>
    <row r="24" spans="1:8" ht="15">
      <c r="A24" s="16"/>
      <c r="B24" s="85" t="s">
        <v>47</v>
      </c>
      <c r="C24" s="16"/>
      <c r="D24" s="16"/>
      <c r="E24" s="124">
        <f>Berechnung!G15</f>
        <v>0</v>
      </c>
      <c r="F24" s="124"/>
      <c r="G24" s="16"/>
      <c r="H24" s="16"/>
    </row>
    <row r="25" spans="1:8" ht="15">
      <c r="A25" s="16"/>
      <c r="B25" s="85" t="s">
        <v>48</v>
      </c>
      <c r="C25" s="16"/>
      <c r="D25" s="16"/>
      <c r="E25" s="124">
        <f>Berechnung!G16</f>
        <v>0</v>
      </c>
      <c r="F25" s="124"/>
      <c r="G25" s="16"/>
      <c r="H25" s="16"/>
    </row>
    <row r="26" spans="1:8" ht="15">
      <c r="A26" s="16"/>
      <c r="B26" s="89" t="s">
        <v>49</v>
      </c>
      <c r="C26" s="91"/>
      <c r="D26" s="91"/>
      <c r="E26" s="125">
        <f>Berechnung!G17</f>
        <v>0</v>
      </c>
      <c r="F26" s="125"/>
      <c r="G26" s="16"/>
      <c r="H26" s="16"/>
    </row>
    <row r="27" spans="1:8" ht="15.75">
      <c r="A27" s="16"/>
      <c r="B27" s="16"/>
      <c r="C27" s="38"/>
      <c r="D27" s="92"/>
      <c r="E27" s="93" t="s">
        <v>93</v>
      </c>
      <c r="F27" s="94">
        <f>SUM(E24:F26)</f>
        <v>0</v>
      </c>
      <c r="G27" s="16"/>
      <c r="H27" s="16"/>
    </row>
    <row r="28" spans="1:8" ht="15">
      <c r="A28" s="16"/>
      <c r="B28" s="16"/>
      <c r="C28" s="38"/>
      <c r="D28" s="38"/>
      <c r="E28" s="95"/>
      <c r="F28" s="96"/>
      <c r="G28" s="16"/>
      <c r="H28" s="16"/>
    </row>
    <row r="29" spans="1:8" ht="15">
      <c r="A29" s="16"/>
      <c r="B29" s="85" t="s">
        <v>59</v>
      </c>
      <c r="C29" s="16"/>
      <c r="D29" s="16"/>
      <c r="E29" s="124">
        <f>Berechnung!G18</f>
        <v>0</v>
      </c>
      <c r="F29" s="124"/>
      <c r="G29" s="16"/>
      <c r="H29" s="16"/>
    </row>
    <row r="30" spans="1:8" ht="15">
      <c r="A30" s="16"/>
      <c r="B30" s="85" t="s">
        <v>91</v>
      </c>
      <c r="C30" s="16"/>
      <c r="D30" s="16"/>
      <c r="E30" s="124">
        <f>Berechnung!G19</f>
        <v>0</v>
      </c>
      <c r="F30" s="124"/>
      <c r="G30" s="16"/>
      <c r="H30" s="16"/>
    </row>
    <row r="31" spans="1:8" ht="15">
      <c r="A31" s="16"/>
      <c r="B31" s="85" t="s">
        <v>60</v>
      </c>
      <c r="C31" s="16"/>
      <c r="D31" s="16"/>
      <c r="E31" s="124">
        <f>Berechnung!G20</f>
        <v>0</v>
      </c>
      <c r="F31" s="124"/>
      <c r="G31" s="16"/>
      <c r="H31" s="16"/>
    </row>
    <row r="32" spans="1:8" ht="15">
      <c r="A32" s="16"/>
      <c r="B32" s="89" t="s">
        <v>61</v>
      </c>
      <c r="C32" s="91"/>
      <c r="D32" s="91"/>
      <c r="E32" s="125">
        <f>Berechnung!G21</f>
        <v>0</v>
      </c>
      <c r="F32" s="125"/>
      <c r="G32" s="16"/>
      <c r="H32" s="16"/>
    </row>
    <row r="33" spans="1:8" ht="15.75">
      <c r="A33" s="16"/>
      <c r="B33" s="85"/>
      <c r="C33" s="16"/>
      <c r="D33" s="16"/>
      <c r="E33" s="93" t="s">
        <v>94</v>
      </c>
      <c r="F33" s="94">
        <f>SUM(E29:F32)</f>
        <v>0</v>
      </c>
      <c r="G33" s="16"/>
      <c r="H33" s="16"/>
    </row>
    <row r="34" spans="1:8" ht="15">
      <c r="A34" s="16"/>
      <c r="B34" s="16"/>
      <c r="C34" s="16"/>
      <c r="D34" s="16"/>
      <c r="E34" s="124"/>
      <c r="F34" s="124"/>
      <c r="G34" s="16"/>
      <c r="H34" s="16"/>
    </row>
    <row r="35" spans="1:8" ht="15.75">
      <c r="A35" s="16"/>
      <c r="B35" s="88" t="s">
        <v>62</v>
      </c>
      <c r="C35" s="91"/>
      <c r="D35" s="91"/>
      <c r="E35" s="130">
        <f>F33+F27</f>
        <v>0</v>
      </c>
      <c r="F35" s="130"/>
      <c r="G35" s="16"/>
      <c r="H35" s="16"/>
    </row>
    <row r="36" spans="1:8" ht="15.75">
      <c r="A36" s="16"/>
      <c r="B36" s="84" t="s">
        <v>63</v>
      </c>
      <c r="C36" s="16"/>
      <c r="D36" s="16"/>
      <c r="E36" s="131">
        <f>E22-E35</f>
        <v>0</v>
      </c>
      <c r="F36" s="131"/>
      <c r="G36" s="16"/>
      <c r="H36" s="16"/>
    </row>
    <row r="37" spans="1:8" ht="15">
      <c r="A37" s="16"/>
      <c r="B37" s="16"/>
      <c r="C37" s="16"/>
      <c r="D37" s="16"/>
      <c r="E37" s="124"/>
      <c r="F37" s="124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97" t="s">
        <v>103</v>
      </c>
      <c r="B55" s="16"/>
      <c r="C55" s="127" t="s">
        <v>95</v>
      </c>
      <c r="D55" s="127"/>
      <c r="E55" s="127"/>
      <c r="F55" s="16"/>
      <c r="G55" s="126">
        <f ca="1">NOW()</f>
        <v>40186.62285219907</v>
      </c>
      <c r="H55" s="126"/>
    </row>
    <row r="61" ht="12.75">
      <c r="H61" s="12"/>
    </row>
  </sheetData>
  <sheetProtection/>
  <mergeCells count="16">
    <mergeCell ref="G55:H55"/>
    <mergeCell ref="C55:E55"/>
    <mergeCell ref="B1:F1"/>
    <mergeCell ref="B2:F2"/>
    <mergeCell ref="E34:F34"/>
    <mergeCell ref="E35:F35"/>
    <mergeCell ref="E36:F36"/>
    <mergeCell ref="E37:F37"/>
    <mergeCell ref="E22:F22"/>
    <mergeCell ref="E24:F24"/>
    <mergeCell ref="E25:F25"/>
    <mergeCell ref="E32:F32"/>
    <mergeCell ref="E26:F26"/>
    <mergeCell ref="E29:F29"/>
    <mergeCell ref="E30:F30"/>
    <mergeCell ref="E31:F3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http://www.parmentier.de/steuer/lohnsteuer2006.xls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</dc:title>
  <dc:subject>Lohnsteuer</dc:subject>
  <dc:creator>Kusche</dc:creator>
  <cp:keywords/>
  <dc:description/>
  <cp:lastModifiedBy>Wolfgang</cp:lastModifiedBy>
  <cp:lastPrinted>2008-01-22T10:10:48Z</cp:lastPrinted>
  <dcterms:created xsi:type="dcterms:W3CDTF">1999-02-09T12:11:13Z</dcterms:created>
  <dcterms:modified xsi:type="dcterms:W3CDTF">2010-01-08T13:57:09Z</dcterms:modified>
  <cp:category>Steuer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